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 activeTab="1"/>
  </bookViews>
  <sheets>
    <sheet name="Infographic" sheetId="6" r:id="rId1"/>
    <sheet name="OverDrive Statistics" sheetId="1" r:id="rId2"/>
    <sheet name="Simultaneous Use Circ" sheetId="4" r:id="rId3"/>
  </sheets>
  <calcPr calcId="162913"/>
</workbook>
</file>

<file path=xl/calcChain.xml><?xml version="1.0" encoding="utf-8"?>
<calcChain xmlns="http://schemas.openxmlformats.org/spreadsheetml/2006/main">
  <c r="I37" i="6" l="1"/>
  <c r="E37" i="6"/>
  <c r="F26" i="6"/>
  <c r="L23" i="6"/>
  <c r="I23" i="6"/>
  <c r="E23" i="6"/>
  <c r="B23" i="6"/>
  <c r="I13" i="6"/>
  <c r="B13" i="6"/>
  <c r="B60" i="1"/>
  <c r="M35" i="1"/>
  <c r="M30" i="1"/>
  <c r="M36" i="1"/>
  <c r="M31" i="1"/>
  <c r="B59" i="1" l="1"/>
  <c r="L36" i="1"/>
  <c r="L31" i="1"/>
  <c r="L35" i="1"/>
  <c r="L30" i="1"/>
  <c r="B58" i="1" l="1"/>
  <c r="K36" i="1"/>
  <c r="K31" i="1"/>
  <c r="K35" i="1"/>
  <c r="K30" i="1"/>
  <c r="B57" i="1" l="1"/>
  <c r="J35" i="1"/>
  <c r="J30" i="1"/>
  <c r="J36" i="1"/>
  <c r="J31" i="1"/>
  <c r="B56" i="1" l="1"/>
  <c r="I35" i="1"/>
  <c r="I30" i="1"/>
  <c r="I36" i="1"/>
  <c r="I31" i="1"/>
  <c r="B55" i="1" l="1"/>
  <c r="H36" i="1"/>
  <c r="H31" i="1"/>
  <c r="H35" i="1"/>
  <c r="H30" i="1"/>
  <c r="B54" i="1" l="1"/>
  <c r="G35" i="1"/>
  <c r="G30" i="1"/>
  <c r="G36" i="1"/>
  <c r="G31" i="1"/>
  <c r="B53" i="1" l="1"/>
  <c r="F36" i="1"/>
  <c r="F31" i="1"/>
  <c r="F35" i="1"/>
  <c r="F30" i="1"/>
  <c r="B52" i="1" l="1"/>
  <c r="E36" i="1"/>
  <c r="E31" i="1"/>
  <c r="E35" i="1"/>
  <c r="E30" i="1"/>
  <c r="B51" i="1" l="1"/>
  <c r="D35" i="1"/>
  <c r="D30" i="1"/>
  <c r="D36" i="1"/>
  <c r="D31" i="1"/>
  <c r="E33" i="6" l="1"/>
  <c r="B50" i="1"/>
  <c r="B36" i="1"/>
  <c r="C35" i="1"/>
  <c r="C30" i="1"/>
  <c r="C36" i="1"/>
  <c r="C31" i="1"/>
  <c r="N22" i="1"/>
  <c r="N21" i="1"/>
  <c r="C20" i="1"/>
  <c r="D20" i="1"/>
  <c r="E20" i="1"/>
  <c r="F20" i="1"/>
  <c r="G20" i="1"/>
  <c r="H20" i="1"/>
  <c r="I20" i="1"/>
  <c r="J20" i="1"/>
  <c r="K20" i="1"/>
  <c r="L20" i="1"/>
  <c r="M20" i="1"/>
  <c r="B20" i="1"/>
  <c r="E36" i="6" l="1"/>
  <c r="N12" i="1"/>
  <c r="N13" i="1"/>
  <c r="N14" i="1"/>
  <c r="N15" i="1"/>
  <c r="N16" i="1"/>
  <c r="N17" i="1"/>
  <c r="N18" i="1"/>
  <c r="N19" i="1"/>
  <c r="N11" i="1"/>
  <c r="N8" i="1"/>
  <c r="N9" i="1"/>
  <c r="N7" i="1"/>
  <c r="N5" i="1"/>
  <c r="N4" i="1"/>
  <c r="B49" i="1"/>
  <c r="B31" i="1"/>
  <c r="B35" i="1"/>
  <c r="B30" i="1"/>
  <c r="P8" i="4" l="1"/>
  <c r="O8" i="4" l="1"/>
  <c r="N8" i="4" l="1"/>
  <c r="M8" i="4" l="1"/>
  <c r="L8" i="4" l="1"/>
  <c r="K8" i="4" l="1"/>
  <c r="J8" i="4" l="1"/>
  <c r="I8" i="4" l="1"/>
  <c r="H8" i="4" l="1"/>
  <c r="G8" i="4" l="1"/>
  <c r="F8" i="4" l="1"/>
  <c r="E8" i="4" l="1"/>
  <c r="Q7" i="4"/>
  <c r="Q6" i="4"/>
  <c r="Q3" i="4"/>
  <c r="Q8" i="4" l="1"/>
  <c r="B58" i="6" s="1"/>
  <c r="F3" i="1" l="1"/>
  <c r="I21" i="6" l="1"/>
  <c r="C38" i="1"/>
  <c r="B38" i="1"/>
  <c r="C34" i="1"/>
  <c r="B22" i="6"/>
  <c r="C6" i="1"/>
  <c r="B6" i="1"/>
  <c r="D6" i="1"/>
  <c r="E6" i="1"/>
  <c r="F6" i="1"/>
  <c r="G6" i="1"/>
  <c r="H6" i="1"/>
  <c r="I6" i="1"/>
  <c r="J6" i="1"/>
  <c r="K6" i="1"/>
  <c r="L6" i="1"/>
  <c r="M6" i="1"/>
  <c r="I12" i="6" s="1"/>
  <c r="E38" i="1"/>
  <c r="F38" i="1"/>
  <c r="G38" i="1"/>
  <c r="H38" i="1"/>
  <c r="I38" i="1"/>
  <c r="J38" i="1"/>
  <c r="K38" i="1"/>
  <c r="L38" i="1"/>
  <c r="M38" i="1"/>
  <c r="D38" i="1"/>
  <c r="D34" i="1"/>
  <c r="E34" i="1"/>
  <c r="F34" i="1"/>
  <c r="G34" i="1"/>
  <c r="H34" i="1"/>
  <c r="I34" i="1"/>
  <c r="J34" i="1"/>
  <c r="K34" i="1"/>
  <c r="L34" i="1"/>
  <c r="B34" i="1"/>
  <c r="C29" i="1"/>
  <c r="D29" i="1"/>
  <c r="E29" i="1"/>
  <c r="F29" i="1"/>
  <c r="G29" i="1"/>
  <c r="H29" i="1"/>
  <c r="I29" i="1"/>
  <c r="J29" i="1"/>
  <c r="K29" i="1"/>
  <c r="L29" i="1"/>
  <c r="B29" i="1"/>
  <c r="M34" i="1"/>
  <c r="M29" i="1"/>
  <c r="C10" i="1"/>
  <c r="D10" i="1"/>
  <c r="E10" i="1"/>
  <c r="F10" i="1"/>
  <c r="G10" i="1"/>
  <c r="H10" i="1"/>
  <c r="I10" i="1"/>
  <c r="J10" i="1"/>
  <c r="K10" i="1"/>
  <c r="L10" i="1"/>
  <c r="M10" i="1"/>
  <c r="B12" i="6" s="1"/>
  <c r="B10" i="1"/>
  <c r="C3" i="1"/>
  <c r="D3" i="1"/>
  <c r="E3" i="1"/>
  <c r="G3" i="1"/>
  <c r="H3" i="1"/>
  <c r="I3" i="1"/>
  <c r="J3" i="1"/>
  <c r="K3" i="1"/>
  <c r="L3" i="1"/>
  <c r="M3" i="1"/>
  <c r="B3" i="1"/>
  <c r="B23" i="1" l="1"/>
  <c r="F23" i="1"/>
  <c r="C23" i="1"/>
  <c r="D23" i="1"/>
  <c r="M23" i="1"/>
  <c r="L23" i="1"/>
  <c r="K23" i="1"/>
  <c r="J23" i="1"/>
  <c r="I23" i="1"/>
  <c r="H23" i="1"/>
  <c r="G23" i="1"/>
  <c r="E23" i="1"/>
  <c r="N6" i="1"/>
  <c r="N10" i="1"/>
  <c r="I22" i="6"/>
  <c r="B21" i="6"/>
  <c r="N3" i="1"/>
  <c r="N20" i="1" l="1"/>
  <c r="N23" i="1" s="1"/>
  <c r="B8" i="6" s="1"/>
</calcChain>
</file>

<file path=xl/sharedStrings.xml><?xml version="1.0" encoding="utf-8"?>
<sst xmlns="http://schemas.openxmlformats.org/spreadsheetml/2006/main" count="151" uniqueCount="94">
  <si>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</si>
  <si>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</si>
  <si>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</si>
  <si>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</si>
  <si>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</si>
  <si>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</si>
  <si>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</si>
  <si>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</si>
  <si>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</si>
  <si>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</si>
  <si>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</si>
  <si>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</si>
  <si>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</si>
  <si>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</si>
  <si>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</si>
  <si>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</si>
  <si>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</si>
  <si>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</si>
  <si>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</si>
  <si>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</si>
  <si>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</si>
  <si>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</si>
  <si>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</si>
  <si>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Video</t>
  </si>
  <si>
    <t>Video Checked Out but Never Downloaded</t>
  </si>
  <si>
    <t>Total Video</t>
  </si>
  <si>
    <t>Streaming Video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</si>
  <si>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</si>
  <si>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</si>
  <si>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</si>
  <si>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</si>
  <si>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</si>
  <si>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</si>
  <si>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</si>
  <si>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</si>
  <si>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</si>
  <si>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</si>
  <si>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</si>
  <si>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</si>
  <si>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Circ through 2016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</si>
  <si>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</si>
  <si>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</si>
  <si>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</si>
  <si>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</si>
  <si>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</si>
  <si>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</si>
  <si>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</si>
  <si>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</si>
  <si>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</si>
  <si>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</si>
  <si>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</si>
  <si>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</si>
  <si>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</si>
  <si>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</si>
  <si>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</si>
  <si>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Current</t>
  </si>
  <si>
    <t>OverDrive</t>
  </si>
  <si>
    <t>Active Holds</t>
  </si>
  <si>
    <t>ebooks</t>
  </si>
  <si>
    <t>non-circulated</t>
  </si>
  <si>
    <t>not circulated</t>
  </si>
  <si>
    <t>circulated</t>
  </si>
  <si>
    <t>owned</t>
  </si>
  <si>
    <t>Titles Circulated by Month</t>
  </si>
  <si>
    <t xml:space="preserve">May </t>
  </si>
  <si>
    <t>BiblioBoard + Indie Author Project</t>
  </si>
  <si>
    <t>Simultaneous Use</t>
  </si>
  <si>
    <t>TOTALS</t>
  </si>
  <si>
    <t>Checkouts YTD</t>
  </si>
  <si>
    <t>Circulation Activity by Format by Month 2021 (includes circulation of titles and copies purchased outside of the Consortium by individual libraries and systems)</t>
  </si>
  <si>
    <t>Purchased Titles and Copies through 2021 (includes Consortium titles and copies only)</t>
  </si>
  <si>
    <t>Inception through January 31, 2021</t>
  </si>
  <si>
    <t>Inception through February 29, 2021</t>
  </si>
  <si>
    <t>Inception through March 31, 2021</t>
  </si>
  <si>
    <t>Inception through April 30, 2021</t>
  </si>
  <si>
    <t>Inception through May 31, 2021</t>
  </si>
  <si>
    <t>Inception through June 30, 2021</t>
  </si>
  <si>
    <t>Inception through July 31, 2021</t>
  </si>
  <si>
    <t>Inception through August 31, 2021</t>
  </si>
  <si>
    <t>Inception through September 30, 2021</t>
  </si>
  <si>
    <t>Inception through October 31, 2021</t>
  </si>
  <si>
    <t>Inception through November 30, 2021</t>
  </si>
  <si>
    <t>Inception through December 31, 2021</t>
  </si>
  <si>
    <t>Patrons with Checkouts 2021 (avg/day)</t>
  </si>
  <si>
    <t>2021 Total</t>
  </si>
  <si>
    <t>2021 Simultaneous Use Circulation</t>
  </si>
  <si>
    <t>Checkouts This Month</t>
  </si>
  <si>
    <t>Total Magazines</t>
  </si>
  <si>
    <t>OverDrive Magazine</t>
  </si>
  <si>
    <t>Magazines Checked Out but Never Downloaded*</t>
  </si>
  <si>
    <t>Magazines</t>
  </si>
  <si>
    <t>Magazine</t>
  </si>
  <si>
    <t>magazines</t>
  </si>
  <si>
    <t>December 2021 Year to Date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</si>
</sst>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0" fontId="0" fillId="2" borderId="0" xfId="0" applyFill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2" fillId="0" borderId="3" xfId="0" applyFon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3" fillId="4" borderId="4" xfId="0" applyFont="1" applyFill="1" applyBorder="1"/>
    <xf numFmtId="0" fontId="13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4" xfId="0" applyFill="1" applyBorder="1"/>
    <xf numFmtId="0" fontId="0" fillId="5" borderId="0" xfId="0" applyFill="1"/>
    <xf numFmtId="164" fontId="7" fillId="5" borderId="0" xfId="1" applyNumberFormat="1" applyFont="1" applyFill="1" applyAlignment="1">
      <alignment vertical="top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164" fontId="7" fillId="5" borderId="7" xfId="1" applyNumberFormat="1" applyFont="1" applyFill="1" applyBorder="1" applyAlignment="1">
      <alignment vertical="top"/>
    </xf>
    <xf numFmtId="0" fontId="0" fillId="5" borderId="8" xfId="0" applyFill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4" fontId="0" fillId="0" borderId="7" xfId="0" applyNumberFormat="1" applyBorder="1"/>
    <xf numFmtId="0" fontId="6" fillId="4" borderId="0" xfId="0" applyFont="1" applyFill="1" applyAlignment="1">
      <alignment horizontal="left"/>
    </xf>
    <xf numFmtId="3" fontId="0" fillId="0" borderId="0" xfId="0" applyNumberFormat="1" applyBorder="1"/>
    <xf numFmtId="164" fontId="0" fillId="0" borderId="0" xfId="1" applyNumberFormat="1" applyFont="1" applyBorder="1"/>
    <xf numFmtId="3" fontId="6" fillId="6" borderId="4" xfId="0" applyNumberFormat="1" applyFont="1" applyFill="1" applyBorder="1"/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6" fillId="6" borderId="0" xfId="0" applyFont="1" applyFill="1"/>
    <xf numFmtId="0" fontId="6" fillId="6" borderId="5" xfId="0" applyFont="1" applyFill="1" applyBorder="1"/>
    <xf numFmtId="0" fontId="6" fillId="4" borderId="0" xfId="0" applyFont="1" applyFill="1" applyAlignment="1"/>
    <xf numFmtId="3" fontId="6" fillId="4" borderId="0" xfId="0" applyNumberFormat="1" applyFont="1" applyFill="1" applyBorder="1"/>
    <xf numFmtId="14" fontId="0" fillId="0" borderId="0" xfId="0" applyNumberFormat="1" applyBorder="1"/>
    <xf numFmtId="0" fontId="13" fillId="4" borderId="0" xfId="0" applyFont="1" applyFill="1" applyBorder="1"/>
    <xf numFmtId="3" fontId="13" fillId="4" borderId="0" xfId="0" applyNumberFormat="1" applyFont="1" applyFill="1" applyBorder="1"/>
    <xf numFmtId="0" fontId="0" fillId="0" borderId="0" xfId="0" applyFill="1" applyBorder="1"/>
    <xf numFmtId="164" fontId="0" fillId="0" borderId="8" xfId="1" applyNumberFormat="1" applyFont="1" applyBorder="1"/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horizontal="right" vertical="center"/>
    </xf>
    <xf numFmtId="164" fontId="6" fillId="5" borderId="23" xfId="1" applyNumberFormat="1" applyFont="1" applyFill="1" applyBorder="1" applyAlignment="1">
      <alignment horizontal="left" vertical="center"/>
    </xf>
    <xf numFmtId="164" fontId="6" fillId="5" borderId="24" xfId="1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27188</c:v>
                </c:pt>
                <c:pt idx="1">
                  <c:v>0</c:v>
                </c:pt>
                <c:pt idx="2" formatCode="#,##0">
                  <c:v>52792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3723</c:v>
                </c:pt>
                <c:pt idx="1">
                  <c:v>0</c:v>
                </c:pt>
                <c:pt idx="2" formatCode="#,##0">
                  <c:v>26719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Statistics'!$A$71:$A$82</c:f>
              <c:numCache>
                <c:formatCode>m/d/yyyy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44319</c:v>
                </c:pt>
                <c:pt idx="4">
                  <c:v>44349</c:v>
                </c:pt>
                <c:pt idx="5">
                  <c:v>44378</c:v>
                </c:pt>
                <c:pt idx="6">
                  <c:v>44410</c:v>
                </c:pt>
                <c:pt idx="7">
                  <c:v>44440</c:v>
                </c:pt>
                <c:pt idx="8">
                  <c:v>44476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'OverDrive Statistics'!$B$71:$B$82</c:f>
              <c:numCache>
                <c:formatCode>General</c:formatCode>
                <c:ptCount val="12"/>
                <c:pt idx="0">
                  <c:v>33.56</c:v>
                </c:pt>
                <c:pt idx="1">
                  <c:v>33.729999999999997</c:v>
                </c:pt>
                <c:pt idx="2">
                  <c:v>35.28</c:v>
                </c:pt>
                <c:pt idx="3">
                  <c:v>37.03</c:v>
                </c:pt>
                <c:pt idx="4">
                  <c:v>37.19</c:v>
                </c:pt>
                <c:pt idx="5">
                  <c:v>37.159999999999997</c:v>
                </c:pt>
                <c:pt idx="6">
                  <c:v>37.6</c:v>
                </c:pt>
                <c:pt idx="7">
                  <c:v>38.6</c:v>
                </c:pt>
                <c:pt idx="8">
                  <c:v>39.130000000000003</c:v>
                </c:pt>
                <c:pt idx="9">
                  <c:v>40.450000000000003</c:v>
                </c:pt>
                <c:pt idx="10">
                  <c:v>40.479999999999997</c:v>
                </c:pt>
                <c:pt idx="11">
                  <c:v>38.89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Statistics'!$A$49:$A$60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Statistics'!$B$49:$B$60</c:f>
              <c:numCache>
                <c:formatCode>0</c:formatCode>
                <c:ptCount val="12"/>
                <c:pt idx="0">
                  <c:v>3451.6129032258063</c:v>
                </c:pt>
                <c:pt idx="1">
                  <c:v>3742.4642857142858</c:v>
                </c:pt>
                <c:pt idx="2">
                  <c:v>3459.1290322580644</c:v>
                </c:pt>
                <c:pt idx="3">
                  <c:v>3506.7333333333331</c:v>
                </c:pt>
                <c:pt idx="4">
                  <c:v>3393.6451612903224</c:v>
                </c:pt>
                <c:pt idx="5">
                  <c:v>3500.2666666666669</c:v>
                </c:pt>
                <c:pt idx="6">
                  <c:v>3394.3548387096776</c:v>
                </c:pt>
                <c:pt idx="7">
                  <c:v>3410.2258064516127</c:v>
                </c:pt>
                <c:pt idx="8">
                  <c:v>3519.2</c:v>
                </c:pt>
                <c:pt idx="9">
                  <c:v>3417.2903225806454</c:v>
                </c:pt>
                <c:pt idx="10">
                  <c:v>3517.9</c:v>
                </c:pt>
                <c:pt idx="11">
                  <c:v>3412.8709677419356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Simultaneous</a:t>
            </a:r>
            <a:r>
              <a:rPr lang="en-US" baseline="0">
                <a:solidFill>
                  <a:sysClr val="windowText" lastClr="000000"/>
                </a:solidFill>
                <a:latin typeface="Georgia" panose="02040502050405020303" pitchFamily="18" charset="0"/>
              </a:rPr>
              <a:t> Use by </a:t>
            </a: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'Simultaneous Use Circ'!$E$2:$P$2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'Simultaneous Use Circ'!$E$8:$P$8</c:f>
              <c:numCache>
                <c:formatCode>#,##0</c:formatCode>
                <c:ptCount val="12"/>
                <c:pt idx="0">
                  <c:v>25128</c:v>
                </c:pt>
                <c:pt idx="1">
                  <c:v>21897</c:v>
                </c:pt>
                <c:pt idx="2">
                  <c:v>21165</c:v>
                </c:pt>
                <c:pt idx="3">
                  <c:v>18845</c:v>
                </c:pt>
                <c:pt idx="4">
                  <c:v>21607</c:v>
                </c:pt>
                <c:pt idx="5">
                  <c:v>19256</c:v>
                </c:pt>
                <c:pt idx="6">
                  <c:v>18378</c:v>
                </c:pt>
                <c:pt idx="7">
                  <c:v>18623</c:v>
                </c:pt>
                <c:pt idx="8">
                  <c:v>19353</c:v>
                </c:pt>
                <c:pt idx="9">
                  <c:v>18193</c:v>
                </c:pt>
                <c:pt idx="10">
                  <c:v>16537</c:v>
                </c:pt>
                <c:pt idx="11">
                  <c:v>16319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Infographic!$E$32</c:f>
              <c:strCache>
                <c:ptCount val="1"/>
                <c:pt idx="0">
                  <c:v>magazines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5A-4C4B-85EC-EABDD061C9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5A-4C4B-85EC-EABDD061C9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5A-4C4B-85EC-EABDD061C9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0-46D0-AA74-B86F38FA32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70-46D0-AA74-B86F38FA32E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5A-4C4B-85EC-EABDD061C9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6D0-AA74-B86F38FA32E2}"/>
              </c:ext>
            </c:extLst>
          </c:dPt>
          <c:cat>
            <c:strRef>
              <c:f>Infographic!$F$32:$F$38</c:f>
              <c:strCache>
                <c:ptCount val="6"/>
                <c:pt idx="1">
                  <c:v>non-circulated</c:v>
                </c:pt>
                <c:pt idx="5">
                  <c:v>circulated</c:v>
                </c:pt>
              </c:strCache>
            </c:strRef>
          </c:cat>
          <c:val>
            <c:numRef>
              <c:f>Infographic!$E$32:$E$38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2189</c:v>
                </c:pt>
                <c:pt idx="4" formatCode="General">
                  <c:v>0</c:v>
                </c:pt>
                <c:pt idx="5">
                  <c:v>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5A-4C4B-85EC-EABDD061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Statistics'!$B$49:$B$60</c:f>
              <c:strCache>
                <c:ptCount val="12"/>
                <c:pt idx="0">
                  <c:v>3452</c:v>
                </c:pt>
                <c:pt idx="1">
                  <c:v>3742</c:v>
                </c:pt>
                <c:pt idx="2">
                  <c:v>3459</c:v>
                </c:pt>
                <c:pt idx="3">
                  <c:v>3507</c:v>
                </c:pt>
                <c:pt idx="4">
                  <c:v>3394</c:v>
                </c:pt>
                <c:pt idx="5">
                  <c:v>3500</c:v>
                </c:pt>
                <c:pt idx="6">
                  <c:v>3394</c:v>
                </c:pt>
                <c:pt idx="7">
                  <c:v>3410</c:v>
                </c:pt>
                <c:pt idx="8">
                  <c:v>3519</c:v>
                </c:pt>
                <c:pt idx="9">
                  <c:v>3417</c:v>
                </c:pt>
                <c:pt idx="10">
                  <c:v>3518</c:v>
                </c:pt>
                <c:pt idx="11">
                  <c:v>3413</c:v>
                </c:pt>
              </c:strCache>
            </c:strRef>
          </c:tx>
          <c:invertIfNegative val="0"/>
          <c:cat>
            <c:strRef>
              <c:f>'OverDrive Statistics'!$A$49:$A$60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Statistics'!$B$49:$B$60</c:f>
              <c:numCache>
                <c:formatCode>0</c:formatCode>
                <c:ptCount val="12"/>
                <c:pt idx="0">
                  <c:v>3451.6129032258063</c:v>
                </c:pt>
                <c:pt idx="1">
                  <c:v>3742.4642857142858</c:v>
                </c:pt>
                <c:pt idx="2">
                  <c:v>3459.1290322580644</c:v>
                </c:pt>
                <c:pt idx="3">
                  <c:v>3506.7333333333331</c:v>
                </c:pt>
                <c:pt idx="4">
                  <c:v>3393.6451612903224</c:v>
                </c:pt>
                <c:pt idx="5">
                  <c:v>3500.2666666666669</c:v>
                </c:pt>
                <c:pt idx="6">
                  <c:v>3394.3548387096776</c:v>
                </c:pt>
                <c:pt idx="7">
                  <c:v>3410.2258064516127</c:v>
                </c:pt>
                <c:pt idx="8">
                  <c:v>3519.2</c:v>
                </c:pt>
                <c:pt idx="9">
                  <c:v>3417.2903225806454</c:v>
                </c:pt>
                <c:pt idx="10">
                  <c:v>3517.9</c:v>
                </c:pt>
                <c:pt idx="11">
                  <c:v>3412.8709677419356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Statistics'!$B$70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Statistics'!$A$71:$A$82</c:f>
              <c:numCache>
                <c:formatCode>m/d/yyyy</c:formatCode>
                <c:ptCount val="12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44319</c:v>
                </c:pt>
                <c:pt idx="4">
                  <c:v>44349</c:v>
                </c:pt>
                <c:pt idx="5">
                  <c:v>44378</c:v>
                </c:pt>
                <c:pt idx="6">
                  <c:v>44410</c:v>
                </c:pt>
                <c:pt idx="7">
                  <c:v>44440</c:v>
                </c:pt>
                <c:pt idx="8">
                  <c:v>44476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</c:numCache>
            </c:numRef>
          </c:cat>
          <c:val>
            <c:numRef>
              <c:f>'OverDrive Statistics'!$B$71:$B$82</c:f>
              <c:numCache>
                <c:formatCode>General</c:formatCode>
                <c:ptCount val="12"/>
                <c:pt idx="0">
                  <c:v>33.56</c:v>
                </c:pt>
                <c:pt idx="1">
                  <c:v>33.729999999999997</c:v>
                </c:pt>
                <c:pt idx="2">
                  <c:v>35.28</c:v>
                </c:pt>
                <c:pt idx="3">
                  <c:v>37.03</c:v>
                </c:pt>
                <c:pt idx="4">
                  <c:v>37.19</c:v>
                </c:pt>
                <c:pt idx="5">
                  <c:v>37.159999999999997</c:v>
                </c:pt>
                <c:pt idx="6">
                  <c:v>37.6</c:v>
                </c:pt>
                <c:pt idx="7">
                  <c:v>38.6</c:v>
                </c:pt>
                <c:pt idx="8">
                  <c:v>39.130000000000003</c:v>
                </c:pt>
                <c:pt idx="9">
                  <c:v>40.450000000000003</c:v>
                </c:pt>
                <c:pt idx="10">
                  <c:v>40.479999999999997</c:v>
                </c:pt>
                <c:pt idx="11">
                  <c:v>38.89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9122</xdr:colOff>
      <xdr:row>13</xdr:row>
      <xdr:rowOff>17780</xdr:rowOff>
    </xdr:from>
    <xdr:to>
      <xdr:col>6</xdr:col>
      <xdr:colOff>503535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45970</xdr:colOff>
      <xdr:row>13</xdr:row>
      <xdr:rowOff>19685</xdr:rowOff>
    </xdr:from>
    <xdr:to>
      <xdr:col>13</xdr:col>
      <xdr:colOff>481099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39</xdr:row>
      <xdr:rowOff>38101</xdr:rowOff>
    </xdr:from>
    <xdr:to>
      <xdr:col>13</xdr:col>
      <xdr:colOff>473710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47</xdr:row>
      <xdr:rowOff>12700</xdr:rowOff>
    </xdr:from>
    <xdr:to>
      <xdr:col>13</xdr:col>
      <xdr:colOff>482600</xdr:colOff>
      <xdr:row>54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58</xdr:row>
      <xdr:rowOff>20320</xdr:rowOff>
    </xdr:from>
    <xdr:to>
      <xdr:col>13</xdr:col>
      <xdr:colOff>495300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10562</xdr:colOff>
      <xdr:row>26</xdr:row>
      <xdr:rowOff>16280</xdr:rowOff>
    </xdr:from>
    <xdr:to>
      <xdr:col>10</xdr:col>
      <xdr:colOff>510885</xdr:colOff>
      <xdr:row>34</xdr:row>
      <xdr:rowOff>15818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46</xdr:row>
      <xdr:rowOff>33338</xdr:rowOff>
    </xdr:from>
    <xdr:to>
      <xdr:col>8</xdr:col>
      <xdr:colOff>212725</xdr:colOff>
      <xdr:row>62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68</xdr:row>
      <xdr:rowOff>110807</xdr:rowOff>
    </xdr:from>
    <xdr:to>
      <xdr:col>8</xdr:col>
      <xdr:colOff>373388</xdr:colOff>
      <xdr:row>84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110" zoomScaleNormal="110" zoomScaleSheetLayoutView="130" workbookViewId="0"/>
  </sheetViews>
  <sheetFormatPr defaultColWidth="0" defaultRowHeight="13.9" customHeight="1" zeroHeight="1"/>
  <cols>
    <col min="1" max="1" width="1.7109375" style="50" customWidth="1"/>
    <col min="2" max="2" width="9" customWidth="1"/>
    <col min="3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50" customWidth="1"/>
    <col min="16" max="16384" width="9.140625" hidden="1"/>
  </cols>
  <sheetData>
    <row r="1" spans="1:15" ht="13.9" customHeight="1">
      <c r="B1" s="105" t="s">
        <v>34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54"/>
    </row>
    <row r="2" spans="1:15" ht="13.9" customHeight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54"/>
    </row>
    <row r="3" spans="1:15" ht="13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54"/>
    </row>
    <row r="4" spans="1:15" ht="13.9" customHeight="1">
      <c r="B4" s="111" t="s">
        <v>93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54"/>
    </row>
    <row r="5" spans="1:15" ht="13.9" customHeight="1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54"/>
    </row>
    <row r="6" spans="1:15" ht="13.15" customHeight="1">
      <c r="A6" s="55"/>
      <c r="B6" s="117" t="s">
        <v>56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54"/>
    </row>
    <row r="7" spans="1:15" ht="9" customHeight="1" thickBot="1">
      <c r="A7" s="55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54"/>
    </row>
    <row r="8" spans="1:15" ht="10.5" customHeight="1">
      <c r="B8" s="123" t="str">
        <f>TEXT('OverDrive Statistics'!N23,"#,##0") &amp;" Checkouts this Year"</f>
        <v>7,234,825 Checkouts this Year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54"/>
    </row>
    <row r="9" spans="1:15" ht="10.15" customHeight="1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54"/>
    </row>
    <row r="10" spans="1:15" ht="13.9" customHeight="1">
      <c r="A10" s="55"/>
      <c r="B10" s="126" t="s">
        <v>38</v>
      </c>
      <c r="C10" s="127"/>
      <c r="D10" s="127"/>
      <c r="E10" s="127"/>
      <c r="F10" s="127"/>
      <c r="G10" s="127"/>
      <c r="H10" s="34"/>
      <c r="I10" s="129" t="s">
        <v>35</v>
      </c>
      <c r="J10" s="127"/>
      <c r="K10" s="127"/>
      <c r="L10" s="127"/>
      <c r="M10" s="127"/>
      <c r="N10" s="130"/>
      <c r="O10" s="54"/>
    </row>
    <row r="11" spans="1:15" ht="13.9" customHeight="1">
      <c r="A11" s="55"/>
      <c r="B11" s="128"/>
      <c r="C11" s="127"/>
      <c r="D11" s="127"/>
      <c r="E11" s="127"/>
      <c r="F11" s="127"/>
      <c r="G11" s="127"/>
      <c r="H11" s="34"/>
      <c r="I11" s="127"/>
      <c r="J11" s="127"/>
      <c r="K11" s="127"/>
      <c r="L11" s="127"/>
      <c r="M11" s="127"/>
      <c r="N11" s="130"/>
      <c r="O11" s="54"/>
    </row>
    <row r="12" spans="1:15" ht="13.9" customHeight="1">
      <c r="A12" s="55"/>
      <c r="B12" s="100">
        <f>'OverDrive Statistics'!M10</f>
        <v>308221</v>
      </c>
      <c r="C12" s="101"/>
      <c r="D12" s="101"/>
      <c r="E12" s="102" t="s">
        <v>86</v>
      </c>
      <c r="F12" s="102"/>
      <c r="G12" s="102"/>
      <c r="H12" s="34"/>
      <c r="I12" s="103">
        <f>'OverDrive Statistics'!M6</f>
        <v>257871</v>
      </c>
      <c r="J12" s="101"/>
      <c r="K12" s="101"/>
      <c r="L12" s="102" t="s">
        <v>86</v>
      </c>
      <c r="M12" s="102"/>
      <c r="N12" s="104"/>
      <c r="O12" s="54"/>
    </row>
    <row r="13" spans="1:15" ht="13.9" customHeight="1">
      <c r="A13" s="55"/>
      <c r="B13" s="100">
        <f>'OverDrive Statistics'!M66</f>
        <v>222649</v>
      </c>
      <c r="C13" s="101"/>
      <c r="D13" s="101"/>
      <c r="E13" s="102" t="s">
        <v>57</v>
      </c>
      <c r="F13" s="102"/>
      <c r="G13" s="102"/>
      <c r="H13" s="34"/>
      <c r="I13" s="103">
        <f>'OverDrive Statistics'!M65</f>
        <v>177570</v>
      </c>
      <c r="J13" s="101"/>
      <c r="K13" s="101"/>
      <c r="L13" s="102" t="s">
        <v>57</v>
      </c>
      <c r="M13" s="102"/>
      <c r="N13" s="104"/>
      <c r="O13" s="54"/>
    </row>
    <row r="14" spans="1:15" ht="13.9" customHeight="1">
      <c r="A14" s="55"/>
      <c r="B14" s="56"/>
      <c r="C14" s="35"/>
      <c r="D14" s="35"/>
      <c r="E14" s="35"/>
      <c r="F14" s="35"/>
      <c r="G14" s="35"/>
      <c r="H14" s="34"/>
      <c r="I14" s="35"/>
      <c r="J14" s="57"/>
      <c r="K14" s="57"/>
      <c r="L14" s="57"/>
      <c r="M14" s="57"/>
      <c r="N14" s="58"/>
      <c r="O14" s="54"/>
    </row>
    <row r="15" spans="1:15" ht="13.9" customHeight="1">
      <c r="A15" s="55"/>
      <c r="B15" s="56"/>
      <c r="C15" s="35"/>
      <c r="D15" s="35"/>
      <c r="E15" s="35"/>
      <c r="F15" s="35"/>
      <c r="G15" s="35"/>
      <c r="H15" s="34"/>
      <c r="I15" s="35"/>
      <c r="J15" s="57"/>
      <c r="K15" s="57"/>
      <c r="L15" s="57"/>
      <c r="M15" s="57"/>
      <c r="N15" s="58"/>
      <c r="O15" s="54"/>
    </row>
    <row r="16" spans="1:15" ht="13.9" customHeight="1">
      <c r="A16" s="55"/>
      <c r="B16" s="56"/>
      <c r="C16" s="35"/>
      <c r="D16" s="35"/>
      <c r="E16" s="35"/>
      <c r="F16" s="35"/>
      <c r="G16" s="35"/>
      <c r="H16" s="34"/>
      <c r="I16" s="35"/>
      <c r="J16" s="35"/>
      <c r="K16" s="35"/>
      <c r="L16" s="35"/>
      <c r="M16" s="35"/>
      <c r="N16" s="59"/>
      <c r="O16" s="54"/>
    </row>
    <row r="17" spans="1:15" s="50" customFormat="1" ht="13.9" customHeight="1">
      <c r="A17" s="55"/>
      <c r="B17" s="56"/>
      <c r="C17" s="35"/>
      <c r="D17" s="35"/>
      <c r="E17" s="35"/>
      <c r="F17" s="35"/>
      <c r="G17" s="35"/>
      <c r="H17" s="34"/>
      <c r="I17" s="35"/>
      <c r="J17" s="35"/>
      <c r="K17" s="35"/>
      <c r="L17" s="35"/>
      <c r="M17" s="35"/>
      <c r="N17" s="59"/>
      <c r="O17" s="54"/>
    </row>
    <row r="18" spans="1:15" s="50" customFormat="1" ht="13.9" customHeight="1">
      <c r="A18" s="55"/>
      <c r="B18" s="56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59"/>
      <c r="O18" s="54"/>
    </row>
    <row r="19" spans="1:15" s="50" customFormat="1" ht="13.9" customHeight="1">
      <c r="A19" s="55"/>
      <c r="B19" s="56"/>
      <c r="C19" s="35"/>
      <c r="D19" s="35"/>
      <c r="E19" s="35"/>
      <c r="F19" s="35"/>
      <c r="G19" s="35"/>
      <c r="H19" s="34"/>
      <c r="I19" s="35"/>
      <c r="J19" s="35"/>
      <c r="K19" s="35"/>
      <c r="L19" s="35"/>
      <c r="M19" s="35"/>
      <c r="N19" s="59"/>
      <c r="O19" s="54"/>
    </row>
    <row r="20" spans="1:15" s="50" customFormat="1" ht="13.9" customHeight="1">
      <c r="A20" s="55"/>
      <c r="B20" s="60" t="s">
        <v>58</v>
      </c>
      <c r="C20" s="61"/>
      <c r="D20" s="35"/>
      <c r="E20" s="35"/>
      <c r="F20" s="35"/>
      <c r="G20" s="35"/>
      <c r="H20" s="34"/>
      <c r="I20" s="61" t="s">
        <v>35</v>
      </c>
      <c r="J20" s="61"/>
      <c r="K20" s="35"/>
      <c r="L20" s="35"/>
      <c r="M20" s="35"/>
      <c r="N20" s="59"/>
      <c r="O20" s="54"/>
    </row>
    <row r="21" spans="1:15" s="50" customFormat="1" ht="13.9" customHeight="1">
      <c r="A21" s="55"/>
      <c r="B21" s="60">
        <f>E23-B23</f>
        <v>27188</v>
      </c>
      <c r="C21" s="61" t="s">
        <v>59</v>
      </c>
      <c r="D21" s="35"/>
      <c r="E21" s="35"/>
      <c r="F21" s="35"/>
      <c r="G21" s="35"/>
      <c r="H21" s="34"/>
      <c r="I21" s="61">
        <f>L23-I23</f>
        <v>3723</v>
      </c>
      <c r="J21" s="61" t="s">
        <v>60</v>
      </c>
      <c r="K21" s="35"/>
      <c r="L21" s="35"/>
      <c r="M21" s="35"/>
      <c r="N21" s="59"/>
      <c r="O21" s="54"/>
    </row>
    <row r="22" spans="1:15" s="50" customFormat="1" ht="13.9" customHeight="1">
      <c r="A22" s="55"/>
      <c r="B22" s="134" t="str">
        <f>ROUND(B23/E23,3)*100 &amp; "% of titles circulated"</f>
        <v>66% of titles circulated</v>
      </c>
      <c r="C22" s="135"/>
      <c r="D22" s="135"/>
      <c r="E22" s="135"/>
      <c r="F22" s="135"/>
      <c r="G22" s="135"/>
      <c r="H22" s="62"/>
      <c r="I22" s="135" t="str">
        <f>ROUND(I23/L23,3)*100 &amp; "% of titles circulated"</f>
        <v>87.8% of titles circulated</v>
      </c>
      <c r="J22" s="135"/>
      <c r="K22" s="135"/>
      <c r="L22" s="135"/>
      <c r="M22" s="135"/>
      <c r="N22" s="136"/>
      <c r="O22" s="54"/>
    </row>
    <row r="23" spans="1:15" s="50" customFormat="1" ht="13.9" customHeight="1">
      <c r="A23" s="55"/>
      <c r="B23" s="63">
        <f>'OverDrive Statistics'!M88</f>
        <v>52792</v>
      </c>
      <c r="C23" s="102" t="s">
        <v>61</v>
      </c>
      <c r="D23" s="102"/>
      <c r="E23" s="64">
        <f>'OverDrive Statistics'!M31</f>
        <v>79980</v>
      </c>
      <c r="F23" s="65" t="s">
        <v>62</v>
      </c>
      <c r="G23" s="65"/>
      <c r="H23" s="62"/>
      <c r="I23" s="64">
        <f>'OverDrive Statistics'!M87</f>
        <v>26719</v>
      </c>
      <c r="J23" s="66" t="s">
        <v>61</v>
      </c>
      <c r="K23" s="66"/>
      <c r="L23" s="64">
        <f>'OverDrive Statistics'!M30</f>
        <v>30442</v>
      </c>
      <c r="M23" s="66" t="s">
        <v>62</v>
      </c>
      <c r="N23" s="67"/>
      <c r="O23" s="54"/>
    </row>
    <row r="24" spans="1:15" s="50" customFormat="1" ht="6.75" customHeight="1">
      <c r="A24" s="55"/>
      <c r="B24" s="88"/>
      <c r="C24" s="89"/>
      <c r="D24" s="89"/>
      <c r="E24" s="90"/>
      <c r="F24" s="89"/>
      <c r="G24" s="89"/>
      <c r="H24" s="91"/>
      <c r="I24" s="90"/>
      <c r="J24" s="91"/>
      <c r="K24" s="91"/>
      <c r="L24" s="90"/>
      <c r="M24" s="91"/>
      <c r="N24" s="92"/>
      <c r="O24" s="54"/>
    </row>
    <row r="25" spans="1:15" s="50" customFormat="1" ht="23.25" customHeight="1">
      <c r="A25" s="55"/>
      <c r="B25" s="88"/>
      <c r="C25" s="89"/>
      <c r="D25" s="89"/>
      <c r="E25" s="64"/>
      <c r="F25" s="85"/>
      <c r="G25" s="147" t="s">
        <v>90</v>
      </c>
      <c r="H25" s="148"/>
      <c r="I25" s="148"/>
      <c r="J25" s="66"/>
      <c r="K25" s="66"/>
      <c r="L25" s="90"/>
      <c r="M25" s="91"/>
      <c r="N25" s="92"/>
      <c r="O25" s="54"/>
    </row>
    <row r="26" spans="1:15" s="50" customFormat="1" ht="13.9" customHeight="1">
      <c r="A26" s="55"/>
      <c r="B26" s="88"/>
      <c r="C26" s="89"/>
      <c r="D26" s="89"/>
      <c r="E26" s="64"/>
      <c r="F26" s="149">
        <f>'OverDrive Statistics'!M20</f>
        <v>23686</v>
      </c>
      <c r="G26" s="149"/>
      <c r="H26" s="149"/>
      <c r="I26" s="102" t="s">
        <v>86</v>
      </c>
      <c r="J26" s="102"/>
      <c r="K26" s="102"/>
      <c r="L26" s="90"/>
      <c r="M26" s="91"/>
      <c r="N26" s="92"/>
      <c r="O26" s="54"/>
    </row>
    <row r="27" spans="1:15" s="50" customFormat="1" ht="13.9" customHeight="1">
      <c r="A27" s="55"/>
      <c r="B27" s="88"/>
      <c r="C27" s="89"/>
      <c r="D27" s="89"/>
      <c r="E27" s="64"/>
      <c r="F27" s="85"/>
      <c r="G27" s="85"/>
      <c r="H27" s="66"/>
      <c r="I27" s="64"/>
      <c r="J27" s="66"/>
      <c r="K27" s="66"/>
      <c r="L27" s="90"/>
      <c r="M27" s="91"/>
      <c r="N27" s="92"/>
      <c r="O27" s="54"/>
    </row>
    <row r="28" spans="1:15" s="50" customFormat="1" ht="13.9" customHeight="1">
      <c r="A28" s="55"/>
      <c r="B28" s="88"/>
      <c r="C28" s="89"/>
      <c r="D28" s="89"/>
      <c r="E28" s="64"/>
      <c r="F28" s="85"/>
      <c r="G28" s="85"/>
      <c r="H28" s="66"/>
      <c r="I28" s="64"/>
      <c r="J28" s="66"/>
      <c r="K28" s="66"/>
      <c r="L28" s="90"/>
      <c r="M28" s="91"/>
      <c r="N28" s="92"/>
      <c r="O28" s="54"/>
    </row>
    <row r="29" spans="1:15" s="50" customFormat="1" ht="13.9" customHeight="1">
      <c r="A29" s="55"/>
      <c r="B29" s="88"/>
      <c r="C29" s="89"/>
      <c r="D29" s="89"/>
      <c r="E29" s="64"/>
      <c r="F29" s="85"/>
      <c r="G29" s="85"/>
      <c r="H29" s="66"/>
      <c r="I29" s="64"/>
      <c r="J29" s="66"/>
      <c r="K29" s="66"/>
      <c r="L29" s="90"/>
      <c r="M29" s="91"/>
      <c r="N29" s="92"/>
      <c r="O29" s="54"/>
    </row>
    <row r="30" spans="1:15" s="50" customFormat="1" ht="13.9" customHeight="1">
      <c r="A30" s="55"/>
      <c r="B30" s="88"/>
      <c r="C30" s="89"/>
      <c r="D30" s="89"/>
      <c r="E30" s="64"/>
      <c r="F30" s="85"/>
      <c r="G30" s="85"/>
      <c r="H30" s="66"/>
      <c r="I30" s="64"/>
      <c r="J30" s="66"/>
      <c r="K30" s="66"/>
      <c r="L30" s="90"/>
      <c r="M30" s="91"/>
      <c r="N30" s="92"/>
      <c r="O30" s="54"/>
    </row>
    <row r="31" spans="1:15" s="50" customFormat="1" ht="13.9" customHeight="1">
      <c r="A31" s="55"/>
      <c r="B31" s="88"/>
      <c r="C31" s="89"/>
      <c r="D31" s="89"/>
      <c r="E31" s="64"/>
      <c r="F31" s="85"/>
      <c r="G31" s="85"/>
      <c r="H31" s="66"/>
      <c r="I31" s="64"/>
      <c r="J31" s="66"/>
      <c r="K31" s="66"/>
      <c r="L31" s="90"/>
      <c r="M31" s="91"/>
      <c r="N31" s="92"/>
      <c r="O31" s="54"/>
    </row>
    <row r="32" spans="1:15" s="50" customFormat="1" ht="13.9" customHeight="1">
      <c r="A32" s="55"/>
      <c r="B32" s="88"/>
      <c r="C32" s="89"/>
      <c r="D32" s="89"/>
      <c r="E32" s="96" t="s">
        <v>92</v>
      </c>
      <c r="F32" s="61"/>
      <c r="G32" s="85"/>
      <c r="H32" s="66"/>
      <c r="I32" s="64"/>
      <c r="J32" s="66"/>
      <c r="K32" s="66"/>
      <c r="L32" s="90"/>
      <c r="M32" s="91"/>
      <c r="N32" s="92"/>
      <c r="O32" s="54"/>
    </row>
    <row r="33" spans="1:15" s="50" customFormat="1" ht="13.9" customHeight="1">
      <c r="A33" s="55"/>
      <c r="B33" s="88"/>
      <c r="C33" s="89"/>
      <c r="D33" s="89"/>
      <c r="E33" s="97">
        <f>I37-E37</f>
        <v>2189</v>
      </c>
      <c r="F33" s="61" t="s">
        <v>59</v>
      </c>
      <c r="G33" s="85"/>
      <c r="H33" s="66"/>
      <c r="I33" s="64"/>
      <c r="J33" s="66"/>
      <c r="K33" s="66"/>
      <c r="L33" s="90"/>
      <c r="M33" s="91"/>
      <c r="N33" s="92"/>
      <c r="O33" s="54"/>
    </row>
    <row r="34" spans="1:15" s="50" customFormat="1" ht="12" customHeight="1">
      <c r="A34" s="55"/>
      <c r="B34" s="88"/>
      <c r="C34" s="89"/>
      <c r="D34" s="89"/>
      <c r="E34" s="64"/>
      <c r="F34" s="85"/>
      <c r="G34" s="85"/>
      <c r="H34" s="66"/>
      <c r="I34" s="64"/>
      <c r="J34" s="66"/>
      <c r="K34" s="66"/>
      <c r="L34" s="90"/>
      <c r="M34" s="91"/>
      <c r="N34" s="92"/>
      <c r="O34" s="54"/>
    </row>
    <row r="35" spans="1:15" s="50" customFormat="1" ht="4.5" customHeight="1">
      <c r="A35" s="55"/>
      <c r="B35" s="88"/>
      <c r="C35" s="89"/>
      <c r="D35" s="89"/>
      <c r="E35" s="64"/>
      <c r="F35" s="85"/>
      <c r="G35" s="85"/>
      <c r="H35" s="66"/>
      <c r="I35" s="64"/>
      <c r="J35" s="66"/>
      <c r="K35" s="66"/>
      <c r="L35" s="90"/>
      <c r="M35" s="91"/>
      <c r="N35" s="92"/>
      <c r="O35" s="54"/>
    </row>
    <row r="36" spans="1:15" s="50" customFormat="1" ht="12" customHeight="1">
      <c r="A36" s="55"/>
      <c r="B36" s="88"/>
      <c r="C36" s="89"/>
      <c r="D36" s="89"/>
      <c r="E36" s="150" t="str">
        <f>ROUND(E37/I37,3)*100 &amp; "% of titles circulated"</f>
        <v>46.2% of titles circulated</v>
      </c>
      <c r="F36" s="150"/>
      <c r="G36" s="150"/>
      <c r="H36" s="150"/>
      <c r="I36" s="150"/>
      <c r="J36" s="150"/>
      <c r="K36" s="150"/>
      <c r="L36" s="90"/>
      <c r="M36" s="91"/>
      <c r="N36" s="92"/>
      <c r="O36" s="54"/>
    </row>
    <row r="37" spans="1:15" s="50" customFormat="1" ht="12" customHeight="1">
      <c r="A37" s="55"/>
      <c r="B37" s="88"/>
      <c r="C37" s="89"/>
      <c r="D37" s="89"/>
      <c r="E37" s="94">
        <f>'OverDrive Statistics'!M89</f>
        <v>1876</v>
      </c>
      <c r="F37" s="93" t="s">
        <v>61</v>
      </c>
      <c r="G37" s="93"/>
      <c r="H37" s="93"/>
      <c r="I37" s="64">
        <f>'OverDrive Statistics'!M32</f>
        <v>4065</v>
      </c>
      <c r="J37" s="85" t="s">
        <v>62</v>
      </c>
      <c r="K37" s="85"/>
      <c r="L37" s="90"/>
      <c r="M37" s="91"/>
      <c r="N37" s="92"/>
      <c r="O37" s="54"/>
    </row>
    <row r="38" spans="1:15" s="50" customFormat="1" ht="3.75" customHeight="1">
      <c r="A38" s="55"/>
      <c r="B38" s="88"/>
      <c r="C38" s="89"/>
      <c r="D38" s="89"/>
      <c r="E38" s="64"/>
      <c r="F38" s="85"/>
      <c r="G38" s="85"/>
      <c r="H38" s="66"/>
      <c r="I38" s="64"/>
      <c r="J38" s="66"/>
      <c r="K38" s="66"/>
      <c r="L38" s="90"/>
      <c r="M38" s="91"/>
      <c r="N38" s="92"/>
      <c r="O38" s="54"/>
    </row>
    <row r="39" spans="1:15" s="50" customFormat="1" ht="9.75" customHeight="1">
      <c r="A39" s="55"/>
      <c r="B39" s="88"/>
      <c r="C39" s="89"/>
      <c r="D39" s="89"/>
      <c r="E39" s="90"/>
      <c r="F39" s="89"/>
      <c r="G39" s="89"/>
      <c r="H39" s="91"/>
      <c r="I39" s="90"/>
      <c r="J39" s="91"/>
      <c r="K39" s="91"/>
      <c r="L39" s="90"/>
      <c r="M39" s="91"/>
      <c r="N39" s="92"/>
      <c r="O39" s="54"/>
    </row>
    <row r="40" spans="1:15" s="50" customFormat="1" ht="13.9" customHeight="1">
      <c r="A40" s="55"/>
      <c r="B40" s="6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9"/>
      <c r="O40" s="54"/>
    </row>
    <row r="41" spans="1:15" s="50" customFormat="1" ht="13.9" customHeight="1">
      <c r="A41" s="55"/>
      <c r="B41" s="6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9"/>
      <c r="O41" s="54"/>
    </row>
    <row r="42" spans="1:15" s="50" customFormat="1" ht="13.9" customHeight="1">
      <c r="A42" s="55"/>
      <c r="B42" s="6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9"/>
      <c r="O42" s="54"/>
    </row>
    <row r="43" spans="1:15" s="50" customFormat="1" ht="13.9" customHeight="1">
      <c r="A43" s="55"/>
      <c r="B43" s="6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9"/>
      <c r="O43" s="54"/>
    </row>
    <row r="44" spans="1:15" s="50" customFormat="1" ht="13.9" customHeight="1">
      <c r="A44" s="55"/>
      <c r="B44" s="6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69"/>
      <c r="O44" s="54"/>
    </row>
    <row r="45" spans="1:15" s="50" customFormat="1" ht="13.9" customHeight="1">
      <c r="A45" s="55"/>
      <c r="B45" s="6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69"/>
      <c r="O45" s="54"/>
    </row>
    <row r="46" spans="1:15" s="50" customFormat="1" ht="13.9" customHeight="1">
      <c r="A46" s="55"/>
      <c r="B46" s="6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9"/>
      <c r="O46" s="54"/>
    </row>
    <row r="47" spans="1:15" ht="13.9" customHeight="1">
      <c r="A47" s="55"/>
      <c r="B47" s="68"/>
      <c r="C47" s="34"/>
      <c r="D47" s="34"/>
      <c r="E47" s="34"/>
      <c r="F47" s="34"/>
      <c r="G47" s="34"/>
      <c r="H47" s="34"/>
      <c r="I47" s="38"/>
      <c r="J47" s="34"/>
      <c r="K47" s="34"/>
      <c r="L47" s="34"/>
      <c r="M47" s="34"/>
      <c r="N47" s="69"/>
      <c r="O47" s="54"/>
    </row>
    <row r="48" spans="1:15" ht="13.9" customHeight="1">
      <c r="B48" s="68"/>
      <c r="C48" s="34"/>
      <c r="D48" s="34"/>
      <c r="E48" s="34"/>
      <c r="F48" s="34"/>
      <c r="G48" s="34"/>
      <c r="H48" s="34"/>
      <c r="I48" s="38"/>
      <c r="J48" s="34"/>
      <c r="K48" s="34"/>
      <c r="L48" s="34"/>
      <c r="M48" s="34"/>
      <c r="N48" s="69"/>
    </row>
    <row r="49" spans="1:15" s="50" customFormat="1" ht="13.9" customHeight="1">
      <c r="A49" s="55"/>
      <c r="B49" s="6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69"/>
      <c r="O49" s="54"/>
    </row>
    <row r="50" spans="1:15" s="50" customFormat="1" ht="13.9" customHeight="1">
      <c r="A50" s="55"/>
      <c r="B50" s="6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69"/>
      <c r="O50" s="54"/>
    </row>
    <row r="51" spans="1:15" ht="13.9" customHeight="1">
      <c r="A51" s="55"/>
      <c r="B51" s="68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69"/>
      <c r="O51" s="54"/>
    </row>
    <row r="52" spans="1:15" ht="13.9" customHeight="1">
      <c r="A52" s="55"/>
      <c r="B52" s="68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69"/>
      <c r="O52" s="54"/>
    </row>
    <row r="53" spans="1:15" ht="13.9" customHeight="1">
      <c r="A53" s="55"/>
      <c r="B53" s="68"/>
      <c r="C53" s="34"/>
      <c r="D53" s="34"/>
      <c r="E53" s="34"/>
      <c r="F53" s="34"/>
      <c r="G53" s="34"/>
      <c r="H53" s="34"/>
      <c r="I53" s="37"/>
      <c r="J53" s="37"/>
      <c r="K53" s="37"/>
      <c r="L53" s="36"/>
      <c r="M53" s="36"/>
      <c r="N53" s="70"/>
      <c r="O53" s="54"/>
    </row>
    <row r="54" spans="1:15" ht="13.9" customHeight="1">
      <c r="A54" s="55"/>
      <c r="B54" s="68"/>
      <c r="C54" s="34"/>
      <c r="D54" s="34"/>
      <c r="E54" s="34"/>
      <c r="F54" s="34"/>
      <c r="G54" s="34"/>
      <c r="H54" s="34"/>
      <c r="I54" s="37"/>
      <c r="J54" s="37"/>
      <c r="K54" s="37"/>
      <c r="L54" s="34"/>
      <c r="M54" s="34"/>
      <c r="N54" s="69"/>
      <c r="O54" s="54"/>
    </row>
    <row r="55" spans="1:15" ht="13.9" customHeight="1">
      <c r="A55" s="55"/>
      <c r="B55" s="68"/>
      <c r="C55" s="34"/>
      <c r="D55" s="34"/>
      <c r="E55" s="34"/>
      <c r="F55" s="34"/>
      <c r="G55" s="34"/>
      <c r="H55" s="34"/>
      <c r="I55" s="37"/>
      <c r="J55" s="34"/>
      <c r="K55" s="34"/>
      <c r="L55" s="34"/>
      <c r="M55" s="34"/>
      <c r="N55" s="69"/>
      <c r="O55" s="54"/>
    </row>
    <row r="56" spans="1:15" ht="15">
      <c r="A56" s="55"/>
      <c r="B56" s="137" t="s">
        <v>66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54"/>
    </row>
    <row r="57" spans="1:15" ht="9" customHeight="1" thickBot="1">
      <c r="A57" s="55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2"/>
      <c r="O57" s="54"/>
    </row>
    <row r="58" spans="1:15" ht="13.9" customHeight="1">
      <c r="A58" s="55"/>
      <c r="B58" s="143">
        <f>'Simultaneous Use Circ'!Q8</f>
        <v>235301</v>
      </c>
      <c r="C58" s="144"/>
      <c r="D58" s="144"/>
      <c r="E58" s="144"/>
      <c r="F58" s="144"/>
      <c r="G58" s="144"/>
      <c r="H58" s="71"/>
      <c r="I58" s="145" t="s">
        <v>68</v>
      </c>
      <c r="J58" s="145"/>
      <c r="K58" s="145"/>
      <c r="L58" s="145"/>
      <c r="M58" s="145"/>
      <c r="N58" s="146"/>
      <c r="O58" s="54"/>
    </row>
    <row r="59" spans="1:15" ht="13.9" customHeight="1">
      <c r="A59" s="55"/>
      <c r="B59" s="72"/>
      <c r="C59" s="73"/>
      <c r="D59" s="73"/>
      <c r="E59" s="73"/>
      <c r="F59" s="73"/>
      <c r="G59" s="73"/>
      <c r="H59" s="73"/>
      <c r="I59" s="74"/>
      <c r="J59" s="73"/>
      <c r="K59" s="73"/>
      <c r="L59" s="73"/>
      <c r="M59" s="73"/>
      <c r="N59" s="75"/>
      <c r="O59" s="54"/>
    </row>
    <row r="60" spans="1:15" ht="13.9" customHeight="1">
      <c r="A60" s="55"/>
      <c r="B60" s="72"/>
      <c r="C60" s="73"/>
      <c r="D60" s="73"/>
      <c r="E60" s="73"/>
      <c r="F60" s="73"/>
      <c r="G60" s="73"/>
      <c r="H60" s="73"/>
      <c r="I60" s="74"/>
      <c r="J60" s="73"/>
      <c r="K60" s="73"/>
      <c r="L60" s="73"/>
      <c r="M60" s="73"/>
      <c r="N60" s="75"/>
      <c r="O60" s="54"/>
    </row>
    <row r="61" spans="1:15" ht="13.9" customHeight="1">
      <c r="A61" s="55"/>
      <c r="B61" s="72"/>
      <c r="C61" s="73"/>
      <c r="D61" s="73"/>
      <c r="E61" s="73"/>
      <c r="F61" s="73"/>
      <c r="G61" s="73"/>
      <c r="H61" s="73"/>
      <c r="I61" s="74"/>
      <c r="J61" s="73"/>
      <c r="K61" s="73"/>
      <c r="L61" s="73"/>
      <c r="M61" s="73"/>
      <c r="N61" s="75"/>
      <c r="O61" s="54"/>
    </row>
    <row r="62" spans="1:15" ht="13.9" customHeight="1">
      <c r="A62" s="55"/>
      <c r="B62" s="72"/>
      <c r="C62" s="73"/>
      <c r="D62" s="73"/>
      <c r="E62" s="73"/>
      <c r="F62" s="73"/>
      <c r="G62" s="73"/>
      <c r="H62" s="73"/>
      <c r="I62" s="74"/>
      <c r="J62" s="73"/>
      <c r="K62" s="73"/>
      <c r="L62" s="73"/>
      <c r="M62" s="73"/>
      <c r="N62" s="75"/>
      <c r="O62" s="54"/>
    </row>
    <row r="63" spans="1:15" ht="13.9" customHeight="1">
      <c r="A63" s="55"/>
      <c r="B63" s="72"/>
      <c r="C63" s="73"/>
      <c r="D63" s="73"/>
      <c r="E63" s="73"/>
      <c r="F63" s="73"/>
      <c r="G63" s="73"/>
      <c r="H63" s="73"/>
      <c r="I63" s="74"/>
      <c r="J63" s="73"/>
      <c r="K63" s="73"/>
      <c r="L63" s="73"/>
      <c r="M63" s="73"/>
      <c r="N63" s="75"/>
      <c r="O63" s="54"/>
    </row>
    <row r="64" spans="1:15" ht="13.9" customHeight="1">
      <c r="A64" s="51"/>
      <c r="B64" s="72"/>
      <c r="C64" s="73"/>
      <c r="D64" s="73"/>
      <c r="E64" s="73"/>
      <c r="F64" s="73"/>
      <c r="G64" s="73"/>
      <c r="H64" s="73"/>
      <c r="I64" s="74"/>
      <c r="J64" s="73"/>
      <c r="K64" s="73"/>
      <c r="L64" s="73"/>
      <c r="M64" s="73"/>
      <c r="N64" s="75"/>
      <c r="O64" s="51"/>
    </row>
    <row r="65" spans="2:14" s="50" customFormat="1" ht="13.9" customHeight="1">
      <c r="B65" s="76"/>
      <c r="C65" s="77"/>
      <c r="D65" s="77"/>
      <c r="E65" s="77"/>
      <c r="F65" s="77"/>
      <c r="G65" s="77"/>
      <c r="H65" s="77"/>
      <c r="I65" s="78"/>
      <c r="J65" s="77"/>
      <c r="K65" s="77"/>
      <c r="L65" s="77"/>
      <c r="M65" s="77"/>
      <c r="N65" s="79"/>
    </row>
    <row r="66" spans="2:14" s="50" customFormat="1" ht="13.9" customHeight="1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3"/>
    </row>
    <row r="67" spans="2:14" ht="13.9" customHeight="1"/>
  </sheetData>
  <mergeCells count="25">
    <mergeCell ref="B66:N66"/>
    <mergeCell ref="B22:G22"/>
    <mergeCell ref="I22:N22"/>
    <mergeCell ref="C23:D23"/>
    <mergeCell ref="B56:N57"/>
    <mergeCell ref="B58:G58"/>
    <mergeCell ref="I58:N58"/>
    <mergeCell ref="G25:I25"/>
    <mergeCell ref="F26:H26"/>
    <mergeCell ref="I26:K26"/>
    <mergeCell ref="E36:K36"/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0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M1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77" ht="21">
      <c r="A1" s="151" t="s">
        <v>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8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6" t="s">
        <v>84</v>
      </c>
    </row>
    <row r="3" spans="1:77">
      <c r="A3" s="1" t="s">
        <v>25</v>
      </c>
      <c r="B3" s="3">
        <f t="shared" ref="B3:N3" si="0">SUM(B4:B5)</f>
        <v>442</v>
      </c>
      <c r="C3" s="3">
        <f t="shared" si="0"/>
        <v>353</v>
      </c>
      <c r="D3" s="3">
        <f t="shared" si="0"/>
        <v>403</v>
      </c>
      <c r="E3" s="3">
        <f t="shared" si="0"/>
        <v>266</v>
      </c>
      <c r="F3" s="3">
        <f t="shared" si="0"/>
        <v>331</v>
      </c>
      <c r="G3" s="3">
        <f t="shared" si="0"/>
        <v>289</v>
      </c>
      <c r="H3" s="3">
        <f t="shared" si="0"/>
        <v>248</v>
      </c>
      <c r="I3" s="3">
        <f t="shared" si="0"/>
        <v>264</v>
      </c>
      <c r="J3" s="3">
        <f t="shared" si="0"/>
        <v>235</v>
      </c>
      <c r="K3" s="3">
        <f t="shared" si="0"/>
        <v>233</v>
      </c>
      <c r="L3" s="3">
        <f t="shared" si="0"/>
        <v>241</v>
      </c>
      <c r="M3" s="3">
        <f t="shared" si="0"/>
        <v>176</v>
      </c>
      <c r="N3" s="4">
        <f t="shared" si="0"/>
        <v>3481</v>
      </c>
    </row>
    <row r="4" spans="1:77" s="20" customFormat="1">
      <c r="A4" s="5" t="s">
        <v>26</v>
      </c>
      <c r="B4" s="6">
        <v>359</v>
      </c>
      <c r="C4" s="6">
        <v>284</v>
      </c>
      <c r="D4" s="6">
        <v>349</v>
      </c>
      <c r="E4" s="6">
        <v>211</v>
      </c>
      <c r="F4" s="6">
        <v>292</v>
      </c>
      <c r="G4" s="6">
        <v>264</v>
      </c>
      <c r="H4" s="6">
        <v>216</v>
      </c>
      <c r="I4" s="6">
        <v>221</v>
      </c>
      <c r="J4" s="6">
        <v>204</v>
      </c>
      <c r="K4" s="6">
        <v>178</v>
      </c>
      <c r="L4" s="6">
        <v>208</v>
      </c>
      <c r="M4" s="6">
        <v>154</v>
      </c>
      <c r="N4" s="17">
        <f>SUM(B4:M4)</f>
        <v>2940</v>
      </c>
      <c r="O4" s="1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20" customFormat="1">
      <c r="A5" s="5" t="s">
        <v>24</v>
      </c>
      <c r="B5" s="6">
        <v>83</v>
      </c>
      <c r="C5" s="6">
        <v>69</v>
      </c>
      <c r="D5" s="6">
        <v>54</v>
      </c>
      <c r="E5" s="6">
        <v>55</v>
      </c>
      <c r="F5" s="6">
        <v>39</v>
      </c>
      <c r="G5" s="6">
        <v>25</v>
      </c>
      <c r="H5" s="6">
        <v>32</v>
      </c>
      <c r="I5" s="6">
        <v>43</v>
      </c>
      <c r="J5" s="6">
        <v>31</v>
      </c>
      <c r="K5" s="6">
        <v>55</v>
      </c>
      <c r="L5" s="6">
        <v>33</v>
      </c>
      <c r="M5" s="6">
        <v>22</v>
      </c>
      <c r="N5" s="17">
        <f>SUM(B5:M5)</f>
        <v>541</v>
      </c>
      <c r="O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>
      <c r="A6" s="1" t="s">
        <v>12</v>
      </c>
      <c r="B6" s="3">
        <f t="shared" ref="B6:N6" si="1">SUM(B7:B9)</f>
        <v>263543</v>
      </c>
      <c r="C6" s="3">
        <f t="shared" si="1"/>
        <v>239537</v>
      </c>
      <c r="D6" s="3">
        <f t="shared" si="1"/>
        <v>272902</v>
      </c>
      <c r="E6" s="3">
        <f t="shared" si="1"/>
        <v>259483</v>
      </c>
      <c r="F6" s="3">
        <f t="shared" si="1"/>
        <v>268049</v>
      </c>
      <c r="G6" s="3">
        <f t="shared" si="1"/>
        <v>261837</v>
      </c>
      <c r="H6" s="3">
        <f t="shared" si="1"/>
        <v>265143</v>
      </c>
      <c r="I6" s="3">
        <f t="shared" si="1"/>
        <v>265720</v>
      </c>
      <c r="J6" s="3">
        <f t="shared" si="1"/>
        <v>260125</v>
      </c>
      <c r="K6" s="3">
        <f t="shared" si="1"/>
        <v>263559</v>
      </c>
      <c r="L6" s="3">
        <f t="shared" si="1"/>
        <v>257606</v>
      </c>
      <c r="M6" s="3">
        <f t="shared" si="1"/>
        <v>257871</v>
      </c>
      <c r="N6" s="4">
        <f t="shared" si="1"/>
        <v>3135375</v>
      </c>
    </row>
    <row r="7" spans="1:77">
      <c r="A7" s="5" t="s">
        <v>13</v>
      </c>
      <c r="B7" s="6">
        <v>80901</v>
      </c>
      <c r="C7" s="6">
        <v>72203</v>
      </c>
      <c r="D7" s="6">
        <v>81347</v>
      </c>
      <c r="E7" s="6">
        <v>77252</v>
      </c>
      <c r="F7" s="6">
        <v>79123</v>
      </c>
      <c r="G7" s="6">
        <v>76248</v>
      </c>
      <c r="H7" s="6">
        <v>75977</v>
      </c>
      <c r="I7" s="6">
        <v>74772</v>
      </c>
      <c r="J7" s="6">
        <v>72147</v>
      </c>
      <c r="K7" s="6">
        <v>70733</v>
      </c>
      <c r="L7" s="6">
        <v>67366</v>
      </c>
      <c r="M7" s="6">
        <v>64587</v>
      </c>
      <c r="N7" s="17">
        <f>SUM(B7:M7)</f>
        <v>892656</v>
      </c>
      <c r="O7" s="19"/>
    </row>
    <row r="8" spans="1:77">
      <c r="A8" s="5" t="s">
        <v>28</v>
      </c>
      <c r="B8" s="6">
        <v>176508</v>
      </c>
      <c r="C8" s="6">
        <v>161855</v>
      </c>
      <c r="D8" s="6">
        <v>185477</v>
      </c>
      <c r="E8" s="6">
        <v>176315</v>
      </c>
      <c r="F8" s="6">
        <v>183021</v>
      </c>
      <c r="G8" s="6">
        <v>179701</v>
      </c>
      <c r="H8" s="6">
        <v>183383</v>
      </c>
      <c r="I8" s="6">
        <v>185160</v>
      </c>
      <c r="J8" s="6">
        <v>182220</v>
      </c>
      <c r="K8" s="6">
        <v>187385</v>
      </c>
      <c r="L8" s="6">
        <v>184506</v>
      </c>
      <c r="M8" s="6">
        <v>184382</v>
      </c>
      <c r="N8" s="17">
        <f t="shared" ref="N8:N9" si="2">SUM(B8:M8)</f>
        <v>2169913</v>
      </c>
      <c r="O8" s="19"/>
    </row>
    <row r="9" spans="1:77">
      <c r="A9" s="5" t="s">
        <v>41</v>
      </c>
      <c r="B9" s="6">
        <v>6134</v>
      </c>
      <c r="C9" s="6">
        <v>5479</v>
      </c>
      <c r="D9" s="6">
        <v>6078</v>
      </c>
      <c r="E9" s="6">
        <v>5916</v>
      </c>
      <c r="F9" s="6">
        <v>5905</v>
      </c>
      <c r="G9" s="6">
        <v>5888</v>
      </c>
      <c r="H9" s="6">
        <v>5783</v>
      </c>
      <c r="I9" s="6">
        <v>5788</v>
      </c>
      <c r="J9" s="6">
        <v>5758</v>
      </c>
      <c r="K9" s="6">
        <v>5441</v>
      </c>
      <c r="L9" s="6">
        <v>5734</v>
      </c>
      <c r="M9" s="6">
        <v>8902</v>
      </c>
      <c r="N9" s="17">
        <f t="shared" si="2"/>
        <v>72806</v>
      </c>
      <c r="O9" s="19"/>
    </row>
    <row r="10" spans="1:77">
      <c r="A10" s="1" t="s">
        <v>14</v>
      </c>
      <c r="B10" s="3">
        <f>SUM(B11:B19)</f>
        <v>365530</v>
      </c>
      <c r="C10" s="3">
        <f t="shared" ref="C10:M10" si="3">SUM(C11:C19)</f>
        <v>330890</v>
      </c>
      <c r="D10" s="3">
        <f t="shared" si="3"/>
        <v>353270</v>
      </c>
      <c r="E10" s="3">
        <f t="shared" si="3"/>
        <v>323084</v>
      </c>
      <c r="F10" s="3">
        <f t="shared" si="3"/>
        <v>324360</v>
      </c>
      <c r="G10" s="3">
        <f t="shared" si="3"/>
        <v>314384</v>
      </c>
      <c r="H10" s="3">
        <f t="shared" si="3"/>
        <v>319042</v>
      </c>
      <c r="I10" s="3">
        <f t="shared" si="3"/>
        <v>316675</v>
      </c>
      <c r="J10" s="3">
        <f t="shared" si="3"/>
        <v>300614</v>
      </c>
      <c r="K10" s="3">
        <f t="shared" si="3"/>
        <v>306315</v>
      </c>
      <c r="L10" s="3">
        <f t="shared" si="3"/>
        <v>301767</v>
      </c>
      <c r="M10" s="3">
        <f t="shared" si="3"/>
        <v>308221</v>
      </c>
      <c r="N10" s="4">
        <f>SUM(N11:N19)</f>
        <v>3864152</v>
      </c>
    </row>
    <row r="11" spans="1:77">
      <c r="A11" s="5" t="s">
        <v>15</v>
      </c>
      <c r="B11" s="6">
        <v>322</v>
      </c>
      <c r="C11" s="6">
        <v>372</v>
      </c>
      <c r="D11" s="6">
        <v>615</v>
      </c>
      <c r="E11" s="6">
        <v>518</v>
      </c>
      <c r="F11" s="6">
        <v>529</v>
      </c>
      <c r="G11" s="6">
        <v>481</v>
      </c>
      <c r="H11" s="6">
        <v>536</v>
      </c>
      <c r="I11" s="6">
        <v>461</v>
      </c>
      <c r="J11" s="6">
        <v>422</v>
      </c>
      <c r="K11" s="6">
        <v>472</v>
      </c>
      <c r="L11" s="6">
        <v>412</v>
      </c>
      <c r="M11" s="6">
        <v>405</v>
      </c>
      <c r="N11" s="17">
        <f>SUM(B11:M11)</f>
        <v>5545</v>
      </c>
      <c r="O11" s="19"/>
    </row>
    <row r="12" spans="1:77">
      <c r="A12" s="5" t="s">
        <v>16</v>
      </c>
      <c r="B12" s="6">
        <v>64726</v>
      </c>
      <c r="C12" s="6">
        <v>56681</v>
      </c>
      <c r="D12" s="6">
        <v>60354</v>
      </c>
      <c r="E12" s="6">
        <v>55787</v>
      </c>
      <c r="F12" s="6">
        <v>57700</v>
      </c>
      <c r="G12" s="6">
        <v>55376</v>
      </c>
      <c r="H12" s="6">
        <v>55852</v>
      </c>
      <c r="I12" s="6">
        <v>55141</v>
      </c>
      <c r="J12" s="6">
        <v>51125</v>
      </c>
      <c r="K12" s="6">
        <v>51194</v>
      </c>
      <c r="L12" s="6">
        <v>48332</v>
      </c>
      <c r="M12" s="6">
        <v>48566</v>
      </c>
      <c r="N12" s="17">
        <f t="shared" ref="N12:N19" si="4">SUM(B12:M12)</f>
        <v>660834</v>
      </c>
      <c r="O12" s="19"/>
    </row>
    <row r="13" spans="1:77">
      <c r="A13" s="5" t="s">
        <v>17</v>
      </c>
      <c r="B13" s="6">
        <v>22</v>
      </c>
      <c r="C13" s="6">
        <v>29</v>
      </c>
      <c r="D13" s="6">
        <v>31</v>
      </c>
      <c r="E13" s="6">
        <v>30</v>
      </c>
      <c r="F13" s="6">
        <v>24</v>
      </c>
      <c r="G13" s="6">
        <v>34</v>
      </c>
      <c r="H13" s="6">
        <v>27</v>
      </c>
      <c r="I13" s="6">
        <v>28</v>
      </c>
      <c r="J13" s="6">
        <v>37</v>
      </c>
      <c r="K13" s="6">
        <v>28</v>
      </c>
      <c r="L13" s="6">
        <v>24</v>
      </c>
      <c r="M13" s="6">
        <v>29</v>
      </c>
      <c r="N13" s="17">
        <f t="shared" si="4"/>
        <v>343</v>
      </c>
      <c r="O13" s="19"/>
    </row>
    <row r="14" spans="1:77">
      <c r="A14" s="5" t="s">
        <v>18</v>
      </c>
      <c r="B14" s="6">
        <v>1312</v>
      </c>
      <c r="C14" s="6">
        <v>1114</v>
      </c>
      <c r="D14" s="6">
        <v>1245</v>
      </c>
      <c r="E14" s="6">
        <v>1097</v>
      </c>
      <c r="F14" s="6">
        <v>1079</v>
      </c>
      <c r="G14" s="6">
        <v>1022</v>
      </c>
      <c r="H14" s="6">
        <v>1034</v>
      </c>
      <c r="I14" s="6">
        <v>1123</v>
      </c>
      <c r="J14" s="6">
        <v>992</v>
      </c>
      <c r="K14" s="6">
        <v>873</v>
      </c>
      <c r="L14" s="6">
        <v>842</v>
      </c>
      <c r="M14" s="6">
        <v>843</v>
      </c>
      <c r="N14" s="17">
        <f t="shared" si="4"/>
        <v>12576</v>
      </c>
      <c r="O14" s="19"/>
    </row>
    <row r="15" spans="1:77">
      <c r="A15" s="5" t="s">
        <v>19</v>
      </c>
      <c r="B15" s="6">
        <v>124735</v>
      </c>
      <c r="C15" s="6">
        <v>112734</v>
      </c>
      <c r="D15" s="6">
        <v>121855</v>
      </c>
      <c r="E15" s="6">
        <v>111447</v>
      </c>
      <c r="F15" s="6">
        <v>106192</v>
      </c>
      <c r="G15" s="6">
        <v>107421</v>
      </c>
      <c r="H15" s="6">
        <v>109441</v>
      </c>
      <c r="I15" s="6">
        <v>108996</v>
      </c>
      <c r="J15" s="6">
        <v>101688</v>
      </c>
      <c r="K15" s="6">
        <v>103542</v>
      </c>
      <c r="L15" s="6">
        <v>102314</v>
      </c>
      <c r="M15" s="6">
        <v>105716</v>
      </c>
      <c r="N15" s="17">
        <f t="shared" si="4"/>
        <v>1316081</v>
      </c>
      <c r="O15" s="19"/>
    </row>
    <row r="16" spans="1:77">
      <c r="A16" s="5" t="s">
        <v>32</v>
      </c>
      <c r="B16" s="6">
        <v>1261</v>
      </c>
      <c r="C16" s="6">
        <v>1168</v>
      </c>
      <c r="D16" s="6">
        <v>1195</v>
      </c>
      <c r="E16" s="6">
        <v>1299</v>
      </c>
      <c r="F16" s="6">
        <v>1242</v>
      </c>
      <c r="G16" s="6">
        <v>1321</v>
      </c>
      <c r="H16" s="6">
        <v>1297</v>
      </c>
      <c r="I16" s="6">
        <v>1153</v>
      </c>
      <c r="J16" s="6">
        <v>1159</v>
      </c>
      <c r="K16" s="6">
        <v>1118</v>
      </c>
      <c r="L16" s="6">
        <v>1346</v>
      </c>
      <c r="M16" s="6">
        <v>1360</v>
      </c>
      <c r="N16" s="17">
        <f t="shared" si="4"/>
        <v>14919</v>
      </c>
      <c r="O16" s="19"/>
    </row>
    <row r="17" spans="1:16">
      <c r="A17" s="5" t="s">
        <v>29</v>
      </c>
      <c r="B17" s="6">
        <v>15</v>
      </c>
      <c r="C17" s="6">
        <v>11</v>
      </c>
      <c r="D17" s="6">
        <v>6</v>
      </c>
      <c r="E17" s="6">
        <v>5</v>
      </c>
      <c r="F17" s="6">
        <v>7</v>
      </c>
      <c r="G17" s="6">
        <v>9</v>
      </c>
      <c r="H17" s="6">
        <v>5</v>
      </c>
      <c r="I17" s="6">
        <v>17</v>
      </c>
      <c r="J17" s="6">
        <v>24</v>
      </c>
      <c r="K17" s="6">
        <v>27</v>
      </c>
      <c r="L17" s="6">
        <v>46</v>
      </c>
      <c r="M17" s="6">
        <v>18</v>
      </c>
      <c r="N17" s="17">
        <f t="shared" si="4"/>
        <v>190</v>
      </c>
      <c r="O17" s="19"/>
    </row>
    <row r="18" spans="1:16">
      <c r="A18" s="5" t="s">
        <v>27</v>
      </c>
      <c r="B18" s="6">
        <v>161956</v>
      </c>
      <c r="C18" s="6">
        <v>149142</v>
      </c>
      <c r="D18" s="6">
        <v>157598</v>
      </c>
      <c r="E18" s="6">
        <v>143570</v>
      </c>
      <c r="F18" s="6">
        <v>146432</v>
      </c>
      <c r="G18" s="6">
        <v>139009</v>
      </c>
      <c r="H18" s="6">
        <v>141356</v>
      </c>
      <c r="I18" s="6">
        <v>140666</v>
      </c>
      <c r="J18" s="6">
        <v>136432</v>
      </c>
      <c r="K18" s="6">
        <v>140269</v>
      </c>
      <c r="L18" s="6">
        <v>139795</v>
      </c>
      <c r="M18" s="6">
        <v>142382</v>
      </c>
      <c r="N18" s="17">
        <f t="shared" si="4"/>
        <v>1738607</v>
      </c>
      <c r="O18" s="19"/>
    </row>
    <row r="19" spans="1:16">
      <c r="A19" s="5" t="s">
        <v>40</v>
      </c>
      <c r="B19" s="6">
        <v>11181</v>
      </c>
      <c r="C19" s="6">
        <v>9639</v>
      </c>
      <c r="D19" s="6">
        <v>10371</v>
      </c>
      <c r="E19" s="6">
        <v>9331</v>
      </c>
      <c r="F19" s="6">
        <v>11155</v>
      </c>
      <c r="G19" s="6">
        <v>9711</v>
      </c>
      <c r="H19" s="6">
        <v>9494</v>
      </c>
      <c r="I19" s="6">
        <v>9090</v>
      </c>
      <c r="J19" s="6">
        <v>8735</v>
      </c>
      <c r="K19" s="6">
        <v>8792</v>
      </c>
      <c r="L19" s="6">
        <v>8656</v>
      </c>
      <c r="M19" s="6">
        <v>8902</v>
      </c>
      <c r="N19" s="17">
        <f t="shared" si="4"/>
        <v>115057</v>
      </c>
      <c r="O19" s="19"/>
    </row>
    <row r="20" spans="1:16">
      <c r="A20" s="1" t="s">
        <v>87</v>
      </c>
      <c r="B20" s="3">
        <f>SUM(B21:B22)</f>
        <v>0</v>
      </c>
      <c r="C20" s="3">
        <f t="shared" ref="C20:M20" si="5">SUM(C21:C22)</f>
        <v>16176</v>
      </c>
      <c r="D20" s="3">
        <f t="shared" si="5"/>
        <v>18544</v>
      </c>
      <c r="E20" s="3">
        <f t="shared" si="5"/>
        <v>18137</v>
      </c>
      <c r="F20" s="3">
        <f t="shared" si="5"/>
        <v>20190</v>
      </c>
      <c r="G20" s="3">
        <f t="shared" si="5"/>
        <v>20585</v>
      </c>
      <c r="H20" s="3">
        <f t="shared" si="5"/>
        <v>20877</v>
      </c>
      <c r="I20" s="3">
        <f t="shared" si="5"/>
        <v>20736</v>
      </c>
      <c r="J20" s="3">
        <f t="shared" si="5"/>
        <v>22746</v>
      </c>
      <c r="K20" s="3">
        <f t="shared" si="5"/>
        <v>25867</v>
      </c>
      <c r="L20" s="3">
        <f t="shared" si="5"/>
        <v>24273</v>
      </c>
      <c r="M20" s="3">
        <f t="shared" si="5"/>
        <v>23686</v>
      </c>
      <c r="N20" s="4">
        <f>SUM(N21:N22)</f>
        <v>231817</v>
      </c>
    </row>
    <row r="21" spans="1:16">
      <c r="A21" s="5" t="s">
        <v>88</v>
      </c>
      <c r="B21" s="6">
        <v>0</v>
      </c>
      <c r="C21" s="6">
        <v>16176</v>
      </c>
      <c r="D21" s="6">
        <v>18544</v>
      </c>
      <c r="E21" s="6">
        <v>18135</v>
      </c>
      <c r="F21" s="6">
        <v>20190</v>
      </c>
      <c r="G21" s="6">
        <v>20585</v>
      </c>
      <c r="H21" s="6">
        <v>20877</v>
      </c>
      <c r="I21" s="6">
        <v>20736</v>
      </c>
      <c r="J21" s="6">
        <v>22746</v>
      </c>
      <c r="K21" s="6">
        <v>25867</v>
      </c>
      <c r="L21" s="6">
        <v>24273</v>
      </c>
      <c r="M21" s="6">
        <v>23686</v>
      </c>
      <c r="N21" s="17">
        <f>SUM(B21:M21)</f>
        <v>231815</v>
      </c>
      <c r="O21" s="19"/>
    </row>
    <row r="22" spans="1:16">
      <c r="A22" s="5" t="s">
        <v>89</v>
      </c>
      <c r="B22" s="6">
        <v>0</v>
      </c>
      <c r="C22" s="6">
        <v>0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7">
        <f>SUM(B22:M22)</f>
        <v>2</v>
      </c>
      <c r="O22" s="19"/>
    </row>
    <row r="23" spans="1:16">
      <c r="A23" s="7" t="s">
        <v>20</v>
      </c>
      <c r="B23" s="8">
        <f t="shared" ref="B23:M23" si="6">SUM(B3,B6,B10)</f>
        <v>629515</v>
      </c>
      <c r="C23" s="8">
        <f t="shared" si="6"/>
        <v>570780</v>
      </c>
      <c r="D23" s="8">
        <f t="shared" si="6"/>
        <v>626575</v>
      </c>
      <c r="E23" s="8">
        <f t="shared" si="6"/>
        <v>582833</v>
      </c>
      <c r="F23" s="8">
        <f t="shared" si="6"/>
        <v>592740</v>
      </c>
      <c r="G23" s="8">
        <f t="shared" si="6"/>
        <v>576510</v>
      </c>
      <c r="H23" s="8">
        <f t="shared" si="6"/>
        <v>584433</v>
      </c>
      <c r="I23" s="8">
        <f t="shared" si="6"/>
        <v>582659</v>
      </c>
      <c r="J23" s="8">
        <f t="shared" si="6"/>
        <v>560974</v>
      </c>
      <c r="K23" s="8">
        <f t="shared" si="6"/>
        <v>570107</v>
      </c>
      <c r="L23" s="8">
        <f t="shared" si="6"/>
        <v>559614</v>
      </c>
      <c r="M23" s="8">
        <f t="shared" si="6"/>
        <v>566268</v>
      </c>
      <c r="N23" s="22">
        <f>SUM(N3,N6,N10, N20)</f>
        <v>7234825</v>
      </c>
      <c r="P23" t="s">
        <v>39</v>
      </c>
    </row>
    <row r="24" spans="1:16">
      <c r="A24" s="44"/>
    </row>
    <row r="26" spans="1:16">
      <c r="A26" s="153" t="s">
        <v>70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 ht="60">
      <c r="A28" s="9" t="s">
        <v>42</v>
      </c>
      <c r="B28" s="10" t="s">
        <v>71</v>
      </c>
      <c r="C28" s="10" t="s">
        <v>72</v>
      </c>
      <c r="D28" s="10" t="s">
        <v>73</v>
      </c>
      <c r="E28" s="10" t="s">
        <v>74</v>
      </c>
      <c r="F28" s="10" t="s">
        <v>75</v>
      </c>
      <c r="G28" s="10" t="s">
        <v>76</v>
      </c>
      <c r="H28" s="10" t="s">
        <v>77</v>
      </c>
      <c r="I28" s="10" t="s">
        <v>78</v>
      </c>
      <c r="J28" s="10" t="s">
        <v>79</v>
      </c>
      <c r="K28" s="10" t="s">
        <v>80</v>
      </c>
      <c r="L28" s="10" t="s">
        <v>81</v>
      </c>
      <c r="M28" s="11" t="s">
        <v>82</v>
      </c>
    </row>
    <row r="29" spans="1:16">
      <c r="A29" s="1" t="s">
        <v>36</v>
      </c>
      <c r="B29" s="3">
        <f t="shared" ref="B29:M29" si="7">SUM(B30:B31)</f>
        <v>100162</v>
      </c>
      <c r="C29" s="3">
        <f t="shared" si="7"/>
        <v>100906</v>
      </c>
      <c r="D29" s="3">
        <f t="shared" si="7"/>
        <v>105712</v>
      </c>
      <c r="E29" s="3">
        <f t="shared" si="7"/>
        <v>106499</v>
      </c>
      <c r="F29" s="3">
        <f t="shared" si="7"/>
        <v>107227</v>
      </c>
      <c r="G29" s="3">
        <f t="shared" si="7"/>
        <v>107252</v>
      </c>
      <c r="H29" s="3">
        <f t="shared" si="7"/>
        <v>107695</v>
      </c>
      <c r="I29" s="3">
        <f t="shared" si="7"/>
        <v>107924</v>
      </c>
      <c r="J29" s="3">
        <f t="shared" si="7"/>
        <v>108692</v>
      </c>
      <c r="K29" s="3">
        <f t="shared" si="7"/>
        <v>107479</v>
      </c>
      <c r="L29" s="3">
        <f t="shared" si="7"/>
        <v>110076</v>
      </c>
      <c r="M29" s="4">
        <f t="shared" si="7"/>
        <v>110422</v>
      </c>
    </row>
    <row r="30" spans="1:16">
      <c r="A30" s="12" t="s">
        <v>35</v>
      </c>
      <c r="B30" s="19">
        <f>26352+263+5+961+20</f>
        <v>27601</v>
      </c>
      <c r="C30" s="19">
        <f>26545+263+5+1037+25</f>
        <v>27875</v>
      </c>
      <c r="D30" s="19">
        <f>26704+261+5+1124+21</f>
        <v>28115</v>
      </c>
      <c r="E30" s="19">
        <f>26850+266+5+1125+36</f>
        <v>28282</v>
      </c>
      <c r="F30" s="19">
        <f>27010+315+5+1178+43</f>
        <v>28551</v>
      </c>
      <c r="G30" s="19">
        <f>27426+143+5+1240+47</f>
        <v>28861</v>
      </c>
      <c r="H30" s="19">
        <f>27573+143+4+1371+20</f>
        <v>29111</v>
      </c>
      <c r="I30" s="19">
        <f>27767+139+5+1423+19</f>
        <v>29353</v>
      </c>
      <c r="J30" s="19">
        <f>27959+129+5+1519+36</f>
        <v>29648</v>
      </c>
      <c r="K30" s="19">
        <f>27990+129+5+1513+13</f>
        <v>29650</v>
      </c>
      <c r="L30" s="19">
        <f>28574+129+6+1577+94</f>
        <v>30380</v>
      </c>
      <c r="M30" s="21">
        <f>28745+69+9+1553+66</f>
        <v>30442</v>
      </c>
    </row>
    <row r="31" spans="1:16">
      <c r="A31" s="12" t="s">
        <v>38</v>
      </c>
      <c r="B31" s="19">
        <f>51437+3844+1336+8873+7069+2</f>
        <v>72561</v>
      </c>
      <c r="C31" s="19">
        <f>51619+3844+1312+9121+7134+1</f>
        <v>73031</v>
      </c>
      <c r="D31" s="19">
        <f>51841+7784+1284+9428+7258+2</f>
        <v>77597</v>
      </c>
      <c r="E31" s="19">
        <f>52126+7830+1281+9688+7290+2</f>
        <v>78217</v>
      </c>
      <c r="F31" s="19">
        <f>52362+7882+1199+9874+6922+437</f>
        <v>78676</v>
      </c>
      <c r="G31" s="19">
        <f>52586+7882+1150+10126+6644+3</f>
        <v>78391</v>
      </c>
      <c r="H31" s="19">
        <f>52798+7881+1114+10477+6309+5</f>
        <v>78584</v>
      </c>
      <c r="I31" s="19">
        <f>52999+7815+1062+10694+5996+5</f>
        <v>78571</v>
      </c>
      <c r="J31" s="19">
        <f>53369+7730+1063+11082+5800</f>
        <v>79044</v>
      </c>
      <c r="K31" s="19">
        <f>53402+7795+11012+5617+3</f>
        <v>77829</v>
      </c>
      <c r="L31" s="19">
        <f>53814+7794+1067+11366+5646+9</f>
        <v>79696</v>
      </c>
      <c r="M31" s="21">
        <f>54083+7626+1084+11509+5665+13</f>
        <v>79980</v>
      </c>
    </row>
    <row r="32" spans="1:16">
      <c r="A32" s="12" t="s">
        <v>90</v>
      </c>
      <c r="B32" s="19">
        <v>0</v>
      </c>
      <c r="C32" s="19">
        <v>3344</v>
      </c>
      <c r="D32" s="19">
        <v>3360</v>
      </c>
      <c r="E32" s="19">
        <v>3402</v>
      </c>
      <c r="F32" s="19">
        <v>3518</v>
      </c>
      <c r="G32" s="19">
        <v>3544</v>
      </c>
      <c r="H32" s="19">
        <v>3587</v>
      </c>
      <c r="I32" s="19">
        <v>3653</v>
      </c>
      <c r="J32" s="19">
        <v>3844</v>
      </c>
      <c r="K32" s="19">
        <v>3944</v>
      </c>
      <c r="L32" s="19">
        <v>4012</v>
      </c>
      <c r="M32" s="21">
        <v>4065</v>
      </c>
    </row>
    <row r="33" spans="1:14">
      <c r="A33" s="1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1"/>
    </row>
    <row r="34" spans="1:14">
      <c r="A34" s="1" t="s">
        <v>37</v>
      </c>
      <c r="B34" s="3">
        <f t="shared" ref="B34:M34" si="8">SUM(B35:B36)</f>
        <v>280592</v>
      </c>
      <c r="C34" s="3">
        <f t="shared" si="8"/>
        <v>282740</v>
      </c>
      <c r="D34" s="3">
        <f t="shared" si="8"/>
        <v>282175</v>
      </c>
      <c r="E34" s="3">
        <f t="shared" si="8"/>
        <v>287511</v>
      </c>
      <c r="F34" s="3">
        <f t="shared" si="8"/>
        <v>290467</v>
      </c>
      <c r="G34" s="3">
        <f t="shared" si="8"/>
        <v>291831</v>
      </c>
      <c r="H34" s="3">
        <f t="shared" si="8"/>
        <v>294407</v>
      </c>
      <c r="I34" s="3">
        <f t="shared" si="8"/>
        <v>296138</v>
      </c>
      <c r="J34" s="3">
        <f t="shared" si="8"/>
        <v>302537</v>
      </c>
      <c r="K34" s="3">
        <f t="shared" si="8"/>
        <v>301885</v>
      </c>
      <c r="L34" s="3">
        <f t="shared" si="8"/>
        <v>308777</v>
      </c>
      <c r="M34" s="4">
        <f t="shared" si="8"/>
        <v>309780</v>
      </c>
    </row>
    <row r="35" spans="1:14">
      <c r="A35" s="12" t="s">
        <v>35</v>
      </c>
      <c r="B35" s="19">
        <f>76264+7+4080</f>
        <v>80351</v>
      </c>
      <c r="C35" s="19">
        <f>77101+8+4320</f>
        <v>81429</v>
      </c>
      <c r="D35" s="19">
        <f>77779+7+1638</f>
        <v>79424</v>
      </c>
      <c r="E35" s="19">
        <f>78522+6+4785</f>
        <v>83313</v>
      </c>
      <c r="F35" s="19">
        <f>79221+6+5003</f>
        <v>84230</v>
      </c>
      <c r="G35" s="19">
        <f>80411+6+5224</f>
        <v>85641</v>
      </c>
      <c r="H35" s="19">
        <f>81375+5+5646</f>
        <v>87026</v>
      </c>
      <c r="I35" s="19">
        <f>82088+6+5833</f>
        <v>87927</v>
      </c>
      <c r="J35" s="19">
        <f>83244+6+6066</f>
        <v>89316</v>
      </c>
      <c r="K35" s="19">
        <f>83383+6+5950</f>
        <v>89339</v>
      </c>
      <c r="L35" s="19">
        <f>85791+8+6220</f>
        <v>92019</v>
      </c>
      <c r="M35" s="21">
        <f>86755+11+6140</f>
        <v>92906</v>
      </c>
    </row>
    <row r="36" spans="1:14">
      <c r="A36" s="12" t="s">
        <v>38</v>
      </c>
      <c r="B36" s="19">
        <f>158432+2800+25411+13598</f>
        <v>200241</v>
      </c>
      <c r="C36" s="19">
        <f>158935+2648+26359+13369</f>
        <v>201311</v>
      </c>
      <c r="D36" s="19">
        <f>159577+2473+27243+13458</f>
        <v>202751</v>
      </c>
      <c r="E36" s="19">
        <f>160288+2404+27893+13613</f>
        <v>204198</v>
      </c>
      <c r="F36" s="19">
        <f>161349+2192+28649+13579+468</f>
        <v>206237</v>
      </c>
      <c r="G36" s="19">
        <f>161933+2044+29165+13048</f>
        <v>206190</v>
      </c>
      <c r="H36" s="19">
        <f>162992+1924+29876+12589</f>
        <v>207381</v>
      </c>
      <c r="I36" s="19">
        <f>163605+1789+30530+12287</f>
        <v>208211</v>
      </c>
      <c r="J36" s="19">
        <f>167383+1560+31679+12599</f>
        <v>213221</v>
      </c>
      <c r="K36" s="19">
        <f>167983+1471+30964+12128</f>
        <v>212546</v>
      </c>
      <c r="L36" s="19">
        <f>170998+1572+31770+12418</f>
        <v>216758</v>
      </c>
      <c r="M36" s="21">
        <f>171632+1567+31612+12063</f>
        <v>216874</v>
      </c>
    </row>
    <row r="37" spans="1:14">
      <c r="A37" s="1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1"/>
    </row>
    <row r="38" spans="1:14">
      <c r="A38" s="1" t="s">
        <v>43</v>
      </c>
      <c r="B38" s="3">
        <f t="shared" ref="B38:M38" si="9">SUM(B39:B40)</f>
        <v>50929</v>
      </c>
      <c r="C38" s="3">
        <f t="shared" si="9"/>
        <v>52040</v>
      </c>
      <c r="D38" s="3">
        <f t="shared" si="9"/>
        <v>52850</v>
      </c>
      <c r="E38" s="3">
        <f t="shared" si="9"/>
        <v>53408</v>
      </c>
      <c r="F38" s="3">
        <f t="shared" si="9"/>
        <v>54869</v>
      </c>
      <c r="G38" s="3">
        <f t="shared" si="9"/>
        <v>56002</v>
      </c>
      <c r="H38" s="3">
        <f t="shared" si="9"/>
        <v>56957</v>
      </c>
      <c r="I38" s="3">
        <f t="shared" si="9"/>
        <v>57994</v>
      </c>
      <c r="J38" s="3">
        <f t="shared" si="9"/>
        <v>60357</v>
      </c>
      <c r="K38" s="3">
        <f t="shared" si="9"/>
        <v>60124</v>
      </c>
      <c r="L38" s="3">
        <f t="shared" si="9"/>
        <v>62083</v>
      </c>
      <c r="M38" s="4">
        <f t="shared" si="9"/>
        <v>62301</v>
      </c>
    </row>
    <row r="39" spans="1:14">
      <c r="A39" s="12" t="s">
        <v>35</v>
      </c>
      <c r="B39" s="19">
        <v>15986</v>
      </c>
      <c r="C39" s="19">
        <v>16570</v>
      </c>
      <c r="D39" s="19">
        <v>17057</v>
      </c>
      <c r="E39" s="19">
        <v>17362</v>
      </c>
      <c r="F39" s="19">
        <v>17921</v>
      </c>
      <c r="G39" s="19">
        <v>18432</v>
      </c>
      <c r="H39" s="19">
        <v>18860</v>
      </c>
      <c r="I39" s="19">
        <v>19236</v>
      </c>
      <c r="J39" s="19">
        <v>20202</v>
      </c>
      <c r="K39" s="19">
        <v>20198</v>
      </c>
      <c r="L39" s="19">
        <v>21322</v>
      </c>
      <c r="M39" s="21">
        <v>21604</v>
      </c>
    </row>
    <row r="40" spans="1:14">
      <c r="A40" s="81" t="s">
        <v>38</v>
      </c>
      <c r="B40" s="86">
        <v>34943</v>
      </c>
      <c r="C40" s="86">
        <v>35470</v>
      </c>
      <c r="D40" s="19">
        <v>35793</v>
      </c>
      <c r="E40" s="19">
        <v>36046</v>
      </c>
      <c r="F40" s="19">
        <v>36948</v>
      </c>
      <c r="G40" s="19">
        <v>37570</v>
      </c>
      <c r="H40" s="19">
        <v>38097</v>
      </c>
      <c r="I40" s="19">
        <v>38758</v>
      </c>
      <c r="J40" s="19">
        <v>40155</v>
      </c>
      <c r="K40" s="19">
        <v>39926</v>
      </c>
      <c r="L40" s="19">
        <v>40761</v>
      </c>
      <c r="M40" s="21">
        <v>40697</v>
      </c>
    </row>
    <row r="41" spans="1:14">
      <c r="A41" s="4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4">
      <c r="A42" s="30"/>
    </row>
    <row r="43" spans="1:14" s="2" customFormat="1" ht="21">
      <c r="A43" s="25" t="s">
        <v>33</v>
      </c>
      <c r="B43" s="26">
        <v>44228</v>
      </c>
      <c r="C43" s="26">
        <v>44256</v>
      </c>
      <c r="D43" s="26">
        <v>44287</v>
      </c>
      <c r="E43" s="26">
        <v>44319</v>
      </c>
      <c r="F43" s="26">
        <v>44349</v>
      </c>
      <c r="G43" s="26">
        <v>44378</v>
      </c>
      <c r="H43" s="26">
        <v>44410</v>
      </c>
      <c r="I43" s="26">
        <v>44440</v>
      </c>
      <c r="J43" s="26">
        <v>44476</v>
      </c>
      <c r="K43" s="26">
        <v>44501</v>
      </c>
      <c r="L43" s="26">
        <v>44531</v>
      </c>
      <c r="M43" s="27">
        <v>44564</v>
      </c>
      <c r="N43" s="39"/>
    </row>
    <row r="44" spans="1:14" s="32" customFormat="1">
      <c r="A44" s="40" t="s">
        <v>35</v>
      </c>
      <c r="B44" s="32">
        <v>6962418</v>
      </c>
      <c r="C44" s="32">
        <v>7088336</v>
      </c>
      <c r="D44" s="32">
        <v>7227352</v>
      </c>
      <c r="E44" s="32">
        <v>7359979</v>
      </c>
      <c r="F44" s="32">
        <v>7483422</v>
      </c>
      <c r="G44" s="32">
        <v>7611319</v>
      </c>
      <c r="H44" s="32">
        <v>7754457</v>
      </c>
      <c r="I44" s="32">
        <v>7890471</v>
      </c>
      <c r="J44" s="32">
        <v>8046899</v>
      </c>
      <c r="K44" s="32">
        <v>8154380</v>
      </c>
      <c r="L44" s="32">
        <v>8283991</v>
      </c>
      <c r="M44" s="32">
        <v>8424918</v>
      </c>
      <c r="N44" s="40"/>
    </row>
    <row r="45" spans="1:14" s="32" customFormat="1">
      <c r="A45" s="31" t="s">
        <v>38</v>
      </c>
      <c r="B45" s="31">
        <v>11446180</v>
      </c>
      <c r="C45" s="31">
        <v>11616602</v>
      </c>
      <c r="D45" s="31">
        <v>11792164</v>
      </c>
      <c r="E45" s="31">
        <v>11955912</v>
      </c>
      <c r="F45" s="31">
        <v>12104738</v>
      </c>
      <c r="G45" s="31">
        <v>12250288</v>
      </c>
      <c r="H45" s="31">
        <v>12410163</v>
      </c>
      <c r="I45" s="31">
        <v>12560823</v>
      </c>
      <c r="J45" s="31">
        <v>12731942</v>
      </c>
      <c r="K45" s="31">
        <v>12843525</v>
      </c>
      <c r="L45" s="31">
        <v>12981932</v>
      </c>
      <c r="M45" s="99">
        <v>13141645</v>
      </c>
      <c r="N45" s="87"/>
    </row>
    <row r="46" spans="1:14" s="32" customFormat="1">
      <c r="A4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81"/>
      <c r="N46" s="87"/>
    </row>
    <row r="47" spans="1:14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4" ht="21">
      <c r="A48" s="151" t="s">
        <v>83</v>
      </c>
      <c r="B48" s="154"/>
    </row>
    <row r="49" spans="1:13">
      <c r="A49" s="12" t="s">
        <v>0</v>
      </c>
      <c r="B49" s="28">
        <f>107000/31</f>
        <v>3451.6129032258063</v>
      </c>
    </row>
    <row r="50" spans="1:13">
      <c r="A50" s="12" t="s">
        <v>1</v>
      </c>
      <c r="B50" s="28">
        <f>104789/28</f>
        <v>3742.4642857142858</v>
      </c>
    </row>
    <row r="51" spans="1:13">
      <c r="A51" s="12" t="s">
        <v>2</v>
      </c>
      <c r="B51" s="28">
        <f>107233/31</f>
        <v>3459.1290322580644</v>
      </c>
    </row>
    <row r="52" spans="1:13">
      <c r="A52" s="12" t="s">
        <v>3</v>
      </c>
      <c r="B52" s="28">
        <f>105202/30</f>
        <v>3506.7333333333331</v>
      </c>
    </row>
    <row r="53" spans="1:13">
      <c r="A53" s="12" t="s">
        <v>4</v>
      </c>
      <c r="B53" s="28">
        <f>105203/31</f>
        <v>3393.6451612903224</v>
      </c>
    </row>
    <row r="54" spans="1:13">
      <c r="A54" s="12" t="s">
        <v>5</v>
      </c>
      <c r="B54" s="28">
        <f>105008/30</f>
        <v>3500.2666666666669</v>
      </c>
    </row>
    <row r="55" spans="1:13">
      <c r="A55" s="12" t="s">
        <v>6</v>
      </c>
      <c r="B55" s="28">
        <f>105225/31</f>
        <v>3394.3548387096776</v>
      </c>
    </row>
    <row r="56" spans="1:13">
      <c r="A56" s="12" t="s">
        <v>7</v>
      </c>
      <c r="B56" s="28">
        <f>105717/31</f>
        <v>3410.2258064516127</v>
      </c>
    </row>
    <row r="57" spans="1:13">
      <c r="A57" s="12" t="s">
        <v>8</v>
      </c>
      <c r="B57" s="28">
        <f>105576/30</f>
        <v>3519.2</v>
      </c>
    </row>
    <row r="58" spans="1:13">
      <c r="A58" s="12" t="s">
        <v>9</v>
      </c>
      <c r="B58" s="28">
        <f>105936/31</f>
        <v>3417.2903225806454</v>
      </c>
    </row>
    <row r="59" spans="1:13">
      <c r="A59" s="12" t="s">
        <v>10</v>
      </c>
      <c r="B59" s="28">
        <f>105537/30</f>
        <v>3517.9</v>
      </c>
    </row>
    <row r="60" spans="1:13">
      <c r="A60" s="12" t="s">
        <v>11</v>
      </c>
      <c r="B60" s="28">
        <f>105799/31</f>
        <v>3412.8709677419356</v>
      </c>
    </row>
    <row r="61" spans="1:13">
      <c r="A61" s="29"/>
      <c r="B61" s="29"/>
    </row>
    <row r="64" spans="1:13" ht="21">
      <c r="A64" s="25" t="s">
        <v>31</v>
      </c>
      <c r="B64" s="26">
        <v>44228</v>
      </c>
      <c r="C64" s="26">
        <v>44256</v>
      </c>
      <c r="D64" s="26">
        <v>44287</v>
      </c>
      <c r="E64" s="26">
        <v>44319</v>
      </c>
      <c r="F64" s="26">
        <v>44349</v>
      </c>
      <c r="G64" s="26">
        <v>44378</v>
      </c>
      <c r="H64" s="26">
        <v>44410</v>
      </c>
      <c r="I64" s="26">
        <v>44440</v>
      </c>
      <c r="J64" s="26">
        <v>44476</v>
      </c>
      <c r="K64" s="26">
        <v>44501</v>
      </c>
      <c r="L64" s="26">
        <v>44531</v>
      </c>
      <c r="M64" s="27">
        <v>44562</v>
      </c>
    </row>
    <row r="65" spans="1:13" s="2" customFormat="1">
      <c r="A65" s="23" t="s">
        <v>21</v>
      </c>
      <c r="B65" s="32">
        <v>141330</v>
      </c>
      <c r="C65" s="32">
        <v>147295</v>
      </c>
      <c r="D65" s="32">
        <v>151158</v>
      </c>
      <c r="E65" s="32">
        <v>148226</v>
      </c>
      <c r="F65" s="32">
        <v>148075</v>
      </c>
      <c r="G65" s="32">
        <v>156601</v>
      </c>
      <c r="H65" s="32">
        <v>162828</v>
      </c>
      <c r="I65" s="32">
        <v>173339</v>
      </c>
      <c r="J65" s="32">
        <v>174007</v>
      </c>
      <c r="K65" s="32">
        <v>175132</v>
      </c>
      <c r="L65" s="32">
        <v>175287</v>
      </c>
      <c r="M65" s="13">
        <v>177570</v>
      </c>
    </row>
    <row r="66" spans="1:13">
      <c r="A66" s="23" t="s">
        <v>22</v>
      </c>
      <c r="B66" s="32">
        <v>145901</v>
      </c>
      <c r="C66" s="32">
        <v>250049</v>
      </c>
      <c r="D66" s="32">
        <v>244694</v>
      </c>
      <c r="E66" s="32">
        <v>235711</v>
      </c>
      <c r="F66" s="32">
        <v>230585</v>
      </c>
      <c r="G66" s="32">
        <v>228262</v>
      </c>
      <c r="H66" s="32">
        <v>227270</v>
      </c>
      <c r="I66" s="32">
        <v>233095</v>
      </c>
      <c r="J66" s="32">
        <v>226729</v>
      </c>
      <c r="K66" s="32">
        <v>218951</v>
      </c>
      <c r="L66" s="32">
        <v>216490</v>
      </c>
      <c r="M66" s="13">
        <v>222649</v>
      </c>
    </row>
    <row r="67" spans="1:13">
      <c r="A67" s="24" t="s">
        <v>23</v>
      </c>
      <c r="B67" s="31">
        <v>8</v>
      </c>
      <c r="C67" s="31">
        <v>4</v>
      </c>
      <c r="D67" s="31">
        <v>7</v>
      </c>
      <c r="E67" s="31">
        <v>5</v>
      </c>
      <c r="F67" s="31">
        <v>7</v>
      </c>
      <c r="G67" s="31">
        <v>4</v>
      </c>
      <c r="H67" s="14">
        <v>5</v>
      </c>
      <c r="I67" s="14">
        <v>6</v>
      </c>
      <c r="J67" s="14">
        <v>5</v>
      </c>
      <c r="K67" s="14">
        <v>3</v>
      </c>
      <c r="L67" s="14">
        <v>6</v>
      </c>
      <c r="M67" s="15">
        <v>5</v>
      </c>
    </row>
    <row r="68" spans="1:13">
      <c r="A68" s="30"/>
    </row>
    <row r="70" spans="1:13" ht="21">
      <c r="A70" s="25" t="s">
        <v>30</v>
      </c>
      <c r="B70" s="52" t="s">
        <v>55</v>
      </c>
      <c r="C70" s="80"/>
    </row>
    <row r="71" spans="1:13">
      <c r="A71" s="30">
        <v>44228</v>
      </c>
      <c r="B71" s="13">
        <v>33.56</v>
      </c>
      <c r="C71" s="81"/>
    </row>
    <row r="72" spans="1:13">
      <c r="A72" s="30">
        <v>44256</v>
      </c>
      <c r="B72" s="13">
        <v>33.729999999999997</v>
      </c>
      <c r="C72" s="81"/>
    </row>
    <row r="73" spans="1:13">
      <c r="A73" s="30">
        <v>44287</v>
      </c>
      <c r="B73" s="13">
        <v>35.28</v>
      </c>
      <c r="C73" s="81"/>
    </row>
    <row r="74" spans="1:13">
      <c r="A74" s="30">
        <v>44319</v>
      </c>
      <c r="B74" s="13">
        <v>37.03</v>
      </c>
      <c r="C74" s="81"/>
    </row>
    <row r="75" spans="1:13">
      <c r="A75" s="30">
        <v>44349</v>
      </c>
      <c r="B75" s="13">
        <v>37.19</v>
      </c>
      <c r="C75" s="81"/>
    </row>
    <row r="76" spans="1:13">
      <c r="A76" s="30">
        <v>44378</v>
      </c>
      <c r="B76" s="13">
        <v>37.159999999999997</v>
      </c>
      <c r="C76" s="81"/>
    </row>
    <row r="77" spans="1:13">
      <c r="A77" s="30">
        <v>44410</v>
      </c>
      <c r="B77" s="13">
        <v>37.6</v>
      </c>
      <c r="C77" s="81"/>
    </row>
    <row r="78" spans="1:13">
      <c r="A78" s="30">
        <v>44440</v>
      </c>
      <c r="B78" s="13">
        <v>38.6</v>
      </c>
      <c r="C78" s="81"/>
    </row>
    <row r="79" spans="1:13">
      <c r="A79" s="30">
        <v>44476</v>
      </c>
      <c r="B79" s="13">
        <v>39.130000000000003</v>
      </c>
      <c r="C79" s="81"/>
    </row>
    <row r="80" spans="1:13">
      <c r="A80" s="30">
        <v>44501</v>
      </c>
      <c r="B80" s="13">
        <v>40.450000000000003</v>
      </c>
      <c r="C80" s="81"/>
    </row>
    <row r="81" spans="1:13">
      <c r="A81" s="30">
        <v>44531</v>
      </c>
      <c r="B81" s="13">
        <v>40.479999999999997</v>
      </c>
      <c r="C81" s="81"/>
    </row>
    <row r="82" spans="1:13">
      <c r="A82" s="84">
        <v>44562</v>
      </c>
      <c r="B82" s="15">
        <v>38.89</v>
      </c>
      <c r="C82" s="81"/>
    </row>
    <row r="86" spans="1:13" ht="21">
      <c r="A86" s="25" t="s">
        <v>63</v>
      </c>
      <c r="B86" s="26" t="s">
        <v>0</v>
      </c>
      <c r="C86" s="26" t="s">
        <v>1</v>
      </c>
      <c r="D86" s="26" t="s">
        <v>2</v>
      </c>
      <c r="E86" s="26" t="s">
        <v>3</v>
      </c>
      <c r="F86" s="26" t="s">
        <v>64</v>
      </c>
      <c r="G86" s="26" t="s">
        <v>5</v>
      </c>
      <c r="H86" s="26" t="s">
        <v>6</v>
      </c>
      <c r="I86" s="26" t="s">
        <v>7</v>
      </c>
      <c r="J86" s="26" t="s">
        <v>8</v>
      </c>
      <c r="K86" s="26" t="s">
        <v>9</v>
      </c>
      <c r="L86" s="26" t="s">
        <v>10</v>
      </c>
      <c r="M86" s="27" t="s">
        <v>11</v>
      </c>
    </row>
    <row r="87" spans="1:13" s="2" customFormat="1">
      <c r="A87" s="23" t="s">
        <v>21</v>
      </c>
      <c r="B87">
        <v>27095</v>
      </c>
      <c r="C87">
        <v>24947</v>
      </c>
      <c r="D87">
        <v>24902</v>
      </c>
      <c r="E87">
        <v>24932</v>
      </c>
      <c r="F87">
        <v>25338</v>
      </c>
      <c r="G87">
        <v>25873</v>
      </c>
      <c r="H87">
        <v>26241</v>
      </c>
      <c r="I87">
        <v>26584</v>
      </c>
      <c r="J87">
        <v>26383</v>
      </c>
      <c r="K87">
        <v>26588</v>
      </c>
      <c r="L87">
        <v>26706</v>
      </c>
      <c r="M87" s="13">
        <v>26719</v>
      </c>
    </row>
    <row r="88" spans="1:13">
      <c r="A88" s="95" t="s">
        <v>22</v>
      </c>
      <c r="B88" s="81">
        <v>54991</v>
      </c>
      <c r="C88" s="81">
        <v>54018</v>
      </c>
      <c r="D88" s="81">
        <v>54992</v>
      </c>
      <c r="E88" s="98">
        <v>53828</v>
      </c>
      <c r="F88" s="98">
        <v>53937</v>
      </c>
      <c r="G88" s="98">
        <v>53522</v>
      </c>
      <c r="H88" s="98">
        <v>54039</v>
      </c>
      <c r="I88" s="98">
        <v>54417</v>
      </c>
      <c r="J88" s="98">
        <v>53214</v>
      </c>
      <c r="K88" s="98">
        <v>53370</v>
      </c>
      <c r="L88" s="98">
        <v>52541</v>
      </c>
      <c r="M88" s="13">
        <v>52792</v>
      </c>
    </row>
    <row r="89" spans="1:13" s="81" customFormat="1">
      <c r="A89" s="24" t="s">
        <v>91</v>
      </c>
      <c r="B89" s="14">
        <v>0</v>
      </c>
      <c r="C89" s="14">
        <v>1441</v>
      </c>
      <c r="D89" s="14">
        <v>1548</v>
      </c>
      <c r="E89" s="14">
        <v>1473</v>
      </c>
      <c r="F89" s="14">
        <v>1560</v>
      </c>
      <c r="G89" s="14">
        <v>1633</v>
      </c>
      <c r="H89" s="14">
        <v>1554</v>
      </c>
      <c r="I89" s="14">
        <v>1562</v>
      </c>
      <c r="J89" s="14">
        <v>1743</v>
      </c>
      <c r="K89" s="14">
        <v>1909</v>
      </c>
      <c r="L89" s="14">
        <v>1889</v>
      </c>
      <c r="M89" s="15">
        <v>1876</v>
      </c>
    </row>
    <row r="90" spans="1:13">
      <c r="A90" s="30"/>
    </row>
  </sheetData>
  <mergeCells count="3">
    <mergeCell ref="A1:M1"/>
    <mergeCell ref="A26:N27"/>
    <mergeCell ref="A48:B4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D1" zoomScale="80" zoomScaleNormal="80" workbookViewId="0">
      <selection activeCell="P8" sqref="P8"/>
    </sheetView>
  </sheetViews>
  <sheetFormatPr defaultRowHeight="15"/>
  <cols>
    <col min="1" max="1" width="30.28515625" bestFit="1" customWidth="1"/>
    <col min="2" max="3" width="11.28515625" bestFit="1" customWidth="1"/>
    <col min="4" max="4" width="30.28515625" bestFit="1" customWidth="1"/>
    <col min="5" max="16" width="9.5703125" customWidth="1"/>
  </cols>
  <sheetData>
    <row r="1" spans="1:17" s="2" customFormat="1">
      <c r="A1" s="45"/>
      <c r="B1" s="45"/>
      <c r="C1" s="45"/>
      <c r="D1" s="45"/>
      <c r="E1" s="155" t="s">
        <v>85</v>
      </c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>
      <c r="A2" s="46" t="s">
        <v>47</v>
      </c>
      <c r="B2" s="46" t="s">
        <v>45</v>
      </c>
      <c r="C2" s="46" t="s">
        <v>46</v>
      </c>
      <c r="D2" s="46" t="s">
        <v>44</v>
      </c>
      <c r="E2" s="47" t="s">
        <v>0</v>
      </c>
      <c r="F2" s="48" t="s">
        <v>1</v>
      </c>
      <c r="G2" s="48" t="s">
        <v>2</v>
      </c>
      <c r="H2" s="48" t="s">
        <v>3</v>
      </c>
      <c r="I2" s="48" t="s">
        <v>4</v>
      </c>
      <c r="J2" s="48" t="s">
        <v>5</v>
      </c>
      <c r="K2" s="48" t="s">
        <v>6</v>
      </c>
      <c r="L2" s="48" t="s">
        <v>7</v>
      </c>
      <c r="M2" s="48" t="s">
        <v>8</v>
      </c>
      <c r="N2" s="48" t="s">
        <v>9</v>
      </c>
      <c r="O2" s="48" t="s">
        <v>10</v>
      </c>
      <c r="P2" s="49" t="s">
        <v>11</v>
      </c>
      <c r="Q2" s="82" t="s">
        <v>67</v>
      </c>
    </row>
    <row r="3" spans="1:17">
      <c r="A3" t="s">
        <v>51</v>
      </c>
      <c r="B3" s="30">
        <v>43440</v>
      </c>
      <c r="C3" s="30">
        <v>43805</v>
      </c>
      <c r="D3" t="s">
        <v>48</v>
      </c>
      <c r="E3" s="156">
        <v>8802</v>
      </c>
      <c r="F3" s="156">
        <v>9062</v>
      </c>
      <c r="G3" s="156">
        <v>9249</v>
      </c>
      <c r="H3" s="156">
        <v>9299</v>
      </c>
      <c r="I3" s="156">
        <v>12687</v>
      </c>
      <c r="J3" s="156">
        <v>12620</v>
      </c>
      <c r="K3" s="156">
        <v>11943</v>
      </c>
      <c r="L3" s="156">
        <v>12346</v>
      </c>
      <c r="M3" s="156">
        <v>12856</v>
      </c>
      <c r="N3" s="156">
        <v>12231</v>
      </c>
      <c r="O3" s="156">
        <v>9292</v>
      </c>
      <c r="P3" s="156">
        <v>8042</v>
      </c>
      <c r="Q3" s="158">
        <f>SUM(E3:P5)</f>
        <v>128429</v>
      </c>
    </row>
    <row r="4" spans="1:17">
      <c r="A4" t="s">
        <v>52</v>
      </c>
      <c r="B4" s="30">
        <v>43454</v>
      </c>
      <c r="C4" s="30">
        <v>43819</v>
      </c>
      <c r="D4" t="s">
        <v>48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</row>
    <row r="5" spans="1:17">
      <c r="A5" t="s">
        <v>54</v>
      </c>
      <c r="B5" s="30">
        <v>43827</v>
      </c>
      <c r="C5" s="30">
        <v>43827</v>
      </c>
      <c r="D5" t="s">
        <v>50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1:17">
      <c r="A6" t="s">
        <v>53</v>
      </c>
      <c r="B6" s="30">
        <v>43454</v>
      </c>
      <c r="C6" s="30">
        <v>43819</v>
      </c>
      <c r="D6" t="s">
        <v>49</v>
      </c>
      <c r="E6" s="53">
        <v>10188</v>
      </c>
      <c r="F6" s="53">
        <v>8581</v>
      </c>
      <c r="G6" s="53">
        <v>8990</v>
      </c>
      <c r="H6" s="53">
        <v>8111</v>
      </c>
      <c r="I6" s="53">
        <v>7679</v>
      </c>
      <c r="J6" s="53">
        <v>5591</v>
      </c>
      <c r="K6" s="53">
        <v>5338</v>
      </c>
      <c r="L6" s="53">
        <v>5153</v>
      </c>
      <c r="M6" s="53">
        <v>5522</v>
      </c>
      <c r="N6" s="53">
        <v>5038</v>
      </c>
      <c r="O6" s="53">
        <v>4381</v>
      </c>
      <c r="P6" s="53">
        <v>4108</v>
      </c>
      <c r="Q6" s="19">
        <f>SUM(E6:P6)</f>
        <v>78680</v>
      </c>
    </row>
    <row r="7" spans="1:17">
      <c r="D7" t="s">
        <v>65</v>
      </c>
      <c r="E7" s="83">
        <v>6138</v>
      </c>
      <c r="F7" s="83">
        <v>4254</v>
      </c>
      <c r="G7">
        <v>2926</v>
      </c>
      <c r="H7">
        <v>1435</v>
      </c>
      <c r="I7">
        <v>1241</v>
      </c>
      <c r="J7">
        <v>1045</v>
      </c>
      <c r="K7">
        <v>1097</v>
      </c>
      <c r="L7">
        <v>1124</v>
      </c>
      <c r="M7">
        <v>975</v>
      </c>
      <c r="N7">
        <v>924</v>
      </c>
      <c r="O7">
        <v>2864</v>
      </c>
      <c r="P7">
        <v>4169</v>
      </c>
      <c r="Q7">
        <f>SUM(E7:P7)</f>
        <v>28192</v>
      </c>
    </row>
    <row r="8" spans="1:17">
      <c r="D8" t="s">
        <v>67</v>
      </c>
      <c r="E8" s="19">
        <f t="shared" ref="E8:J8" si="0">SUM(E3:E7)</f>
        <v>25128</v>
      </c>
      <c r="F8" s="19">
        <f t="shared" si="0"/>
        <v>21897</v>
      </c>
      <c r="G8" s="19">
        <f t="shared" si="0"/>
        <v>21165</v>
      </c>
      <c r="H8" s="19">
        <f t="shared" si="0"/>
        <v>18845</v>
      </c>
      <c r="I8" s="19">
        <f t="shared" si="0"/>
        <v>21607</v>
      </c>
      <c r="J8" s="19">
        <f t="shared" si="0"/>
        <v>19256</v>
      </c>
      <c r="K8" s="19">
        <f t="shared" ref="K8:Q8" si="1">SUM(K3:K7)</f>
        <v>18378</v>
      </c>
      <c r="L8" s="19">
        <f t="shared" si="1"/>
        <v>18623</v>
      </c>
      <c r="M8" s="19">
        <f t="shared" si="1"/>
        <v>19353</v>
      </c>
      <c r="N8" s="19">
        <f t="shared" si="1"/>
        <v>18193</v>
      </c>
      <c r="O8" s="19">
        <f t="shared" si="1"/>
        <v>16537</v>
      </c>
      <c r="P8" s="19">
        <f t="shared" si="1"/>
        <v>16319</v>
      </c>
      <c r="Q8" s="19">
        <f t="shared" si="1"/>
        <v>235301</v>
      </c>
    </row>
  </sheetData>
  <mergeCells count="14">
    <mergeCell ref="Q3:Q5"/>
    <mergeCell ref="M3:M5"/>
    <mergeCell ref="N3:N5"/>
    <mergeCell ref="O3:O5"/>
    <mergeCell ref="P3:P5"/>
    <mergeCell ref="E1:P1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Infographic</vt:lpstr>
      <vt:lpstr>OverDrive Statistics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2022-02-01T19:01:26Z</dcterms:modified>
</cp:coreProperties>
</file>